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abelbe-my.sharepoint.com/personal/yannick_mbiya_enabel_be/Documents/Documents/NER/MP/PASS SUTURA/NER22001-10409 Travaux bureau AMD/LOT 2 GAYA/"/>
    </mc:Choice>
  </mc:AlternateContent>
  <xr:revisionPtr revIDLastSave="71" documentId="8_{12AB0C30-7065-4A7B-99E0-B943AA2E76D0}" xr6:coauthVersionLast="47" xr6:coauthVersionMax="47" xr10:uidLastSave="{A275AF71-44F0-4B1A-8A86-D91085E1982C}"/>
  <bookViews>
    <workbookView xWindow="-108" yWindow="-108" windowWidth="23256" windowHeight="12576" firstSheet="8" activeTab="10" xr2:uid="{23142188-A514-43D5-B129-B3F1847983BB}"/>
  </bookViews>
  <sheets>
    <sheet name="RECAPITULATIF GENERAL" sheetId="7" r:id="rId1"/>
    <sheet name="cadre RECAPITULATIF GENERAL" sheetId="11" r:id="rId2"/>
    <sheet name="DQE Maintenance" sheetId="1" r:id="rId3"/>
    <sheet name="cadre DQE Maintenance" sheetId="2" r:id="rId4"/>
    <sheet name="cadre BPU Maintenance" sheetId="3" r:id="rId5"/>
    <sheet name="DQE CAJ Yélou Gaya R" sheetId="4" r:id="rId6"/>
    <sheet name="cadre DQE CAJ Yélou Gaya" sheetId="5" r:id="rId7"/>
    <sheet name="cadre BPU CAJ Yélou Gaya" sheetId="6" r:id="rId8"/>
    <sheet name="DQE Toilettes CAJ Yelou Gaya" sheetId="8" r:id="rId9"/>
    <sheet name="cadre DQE Toilettes CAJ Yelou" sheetId="9" r:id="rId10"/>
    <sheet name="cadre BPU Toilettes CAJ Yel" sheetId="10" r:id="rId11"/>
  </sheets>
  <definedNames>
    <definedName name="_xlnm.Print_Area" localSheetId="1">'cadre RECAPITULATIF GENERAL'!$A$1:$E$11</definedName>
    <definedName name="_xlnm.Print_Area" localSheetId="0">'RECAPITULATIF GENERAL'!$A$1:$E$11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1" l="1"/>
  <c r="A5" i="11" s="1"/>
  <c r="A6" i="11" s="1"/>
  <c r="A7" i="11" s="1"/>
  <c r="E7" i="7"/>
  <c r="D50" i="9"/>
  <c r="D43" i="9"/>
  <c r="F44" i="9" s="1"/>
  <c r="D40" i="9"/>
  <c r="D39" i="9"/>
  <c r="D33" i="9"/>
  <c r="D32" i="9"/>
  <c r="D31" i="9"/>
  <c r="D30" i="9"/>
  <c r="D29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9" i="9"/>
  <c r="D8" i="9"/>
  <c r="D7" i="9"/>
  <c r="D5" i="9"/>
  <c r="D50" i="8"/>
  <c r="D43" i="8"/>
  <c r="D40" i="8"/>
  <c r="D39" i="8"/>
  <c r="D33" i="8"/>
  <c r="D32" i="8"/>
  <c r="D31" i="8"/>
  <c r="D30" i="8"/>
  <c r="D29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9" i="8"/>
  <c r="D8" i="8"/>
  <c r="D7" i="8"/>
  <c r="D5" i="8"/>
  <c r="D6" i="7" l="1"/>
  <c r="E6" i="7" s="1"/>
  <c r="A4" i="7"/>
  <c r="A5" i="7" s="1"/>
  <c r="A6" i="7" s="1"/>
  <c r="A7" i="7" s="1"/>
  <c r="E3" i="7"/>
  <c r="D50" i="5" l="1"/>
  <c r="D48" i="5"/>
  <c r="D39" i="5"/>
  <c r="D49" i="5" s="1"/>
  <c r="D37" i="5"/>
  <c r="D36" i="5"/>
  <c r="D34" i="5"/>
  <c r="D33" i="5"/>
  <c r="D35" i="5" s="1"/>
  <c r="D29" i="5"/>
  <c r="D28" i="5"/>
  <c r="D26" i="5"/>
  <c r="D27" i="5" s="1"/>
  <c r="D23" i="5"/>
  <c r="D22" i="5"/>
  <c r="D21" i="5"/>
  <c r="D20" i="5"/>
  <c r="D19" i="5"/>
  <c r="D17" i="5"/>
  <c r="D16" i="5"/>
  <c r="D15" i="5"/>
  <c r="D14" i="5"/>
  <c r="D13" i="5"/>
  <c r="D12" i="5"/>
  <c r="D11" i="5"/>
  <c r="D8" i="5"/>
  <c r="D7" i="5"/>
  <c r="D6" i="5"/>
  <c r="D5" i="5"/>
  <c r="D50" i="4"/>
  <c r="D48" i="4"/>
  <c r="D39" i="4"/>
  <c r="D49" i="4" s="1"/>
  <c r="D37" i="4"/>
  <c r="D36" i="4"/>
  <c r="D34" i="4"/>
  <c r="D33" i="4"/>
  <c r="D35" i="4" s="1"/>
  <c r="D29" i="4"/>
  <c r="D28" i="4"/>
  <c r="D26" i="4"/>
  <c r="D23" i="4"/>
  <c r="D22" i="4"/>
  <c r="D21" i="4"/>
  <c r="D20" i="4"/>
  <c r="D19" i="4"/>
  <c r="D17" i="4"/>
  <c r="D16" i="4"/>
  <c r="D15" i="4"/>
  <c r="D14" i="4"/>
  <c r="D13" i="4"/>
  <c r="D12" i="4"/>
  <c r="D11" i="4"/>
  <c r="D8" i="4"/>
  <c r="D7" i="4"/>
  <c r="D6" i="4"/>
  <c r="D5" i="4"/>
  <c r="D27" i="4" l="1"/>
  <c r="D53" i="2" l="1"/>
  <c r="D42" i="2"/>
  <c r="D52" i="2" s="1"/>
  <c r="D41" i="2"/>
  <c r="D40" i="2"/>
  <c r="D38" i="2"/>
  <c r="D39" i="2" s="1"/>
  <c r="D37" i="2"/>
  <c r="D34" i="2"/>
  <c r="D33" i="2"/>
  <c r="D51" i="2" s="1"/>
  <c r="D31" i="2"/>
  <c r="D32" i="2" s="1"/>
  <c r="D28" i="2"/>
  <c r="D27" i="2"/>
  <c r="D26" i="2"/>
  <c r="D25" i="2"/>
  <c r="D24" i="2"/>
  <c r="D22" i="2"/>
  <c r="D21" i="2"/>
  <c r="D23" i="2" s="1"/>
  <c r="D20" i="2"/>
  <c r="D19" i="2"/>
  <c r="D18" i="2"/>
  <c r="D17" i="2"/>
  <c r="D16" i="2"/>
  <c r="D15" i="2"/>
  <c r="D14" i="2"/>
  <c r="D13" i="2"/>
  <c r="D12" i="2"/>
  <c r="D9" i="2"/>
  <c r="D8" i="2"/>
  <c r="D7" i="2"/>
  <c r="D6" i="2"/>
  <c r="D53" i="1"/>
  <c r="D42" i="1"/>
  <c r="D41" i="1"/>
  <c r="D40" i="1"/>
  <c r="D38" i="1"/>
  <c r="D39" i="1" s="1"/>
  <c r="D37" i="1"/>
  <c r="D34" i="1"/>
  <c r="D33" i="1"/>
  <c r="D31" i="1"/>
  <c r="D28" i="1"/>
  <c r="D27" i="1"/>
  <c r="D26" i="1"/>
  <c r="D25" i="1"/>
  <c r="D24" i="1"/>
  <c r="D22" i="1"/>
  <c r="D21" i="1"/>
  <c r="D20" i="1"/>
  <c r="D19" i="1"/>
  <c r="D18" i="1"/>
  <c r="D17" i="1"/>
  <c r="D16" i="1"/>
  <c r="D15" i="1"/>
  <c r="D14" i="1"/>
  <c r="D13" i="1"/>
  <c r="D12" i="1"/>
  <c r="D9" i="1"/>
  <c r="D8" i="1"/>
  <c r="D7" i="1"/>
  <c r="D6" i="1"/>
  <c r="D32" i="1" l="1"/>
  <c r="D51" i="1"/>
  <c r="D5" i="7"/>
  <c r="E5" i="7" s="1"/>
  <c r="D52" i="1"/>
  <c r="D23" i="1"/>
  <c r="F72" i="1" l="1"/>
  <c r="F73" i="1" l="1"/>
  <c r="D4" i="7"/>
  <c r="E4" i="7" s="1"/>
  <c r="E8" i="7" s="1"/>
  <c r="E9" i="7" s="1"/>
</calcChain>
</file>

<file path=xl/sharedStrings.xml><?xml version="1.0" encoding="utf-8"?>
<sst xmlns="http://schemas.openxmlformats.org/spreadsheetml/2006/main" count="1188" uniqueCount="255">
  <si>
    <t>RECAPITULATIF DES TRAVAUX HANGAR MAINTENANCE A L'HD DE GAYA ET CENTRE AMI DES JEUNES A YELOU - LOT 2</t>
  </si>
  <si>
    <t>REF</t>
  </si>
  <si>
    <t>DESIGNATION</t>
  </si>
  <si>
    <t>QTE</t>
  </si>
  <si>
    <t>P.U</t>
  </si>
  <si>
    <t>P.T</t>
  </si>
  <si>
    <t>GENERALITES</t>
  </si>
  <si>
    <t>HANGAR MAINTENANCE</t>
  </si>
  <si>
    <t>LOCAL CENTRE AMI DES JEUNES</t>
  </si>
  <si>
    <t>TOILETTES CAJ</t>
  </si>
  <si>
    <t>CLOTURE VERTE CAJ</t>
  </si>
  <si>
    <t>MONTANT TOTAL DES TRAVAUX H.T (CFA)</t>
  </si>
  <si>
    <t>MONTANT TOTAL DES TRAVAUX H.T (EUROS)</t>
  </si>
  <si>
    <t>DEVIS QUANTITATIF ESTIMATIF POUR LA CONSTRUCTION DE HANGAR POUR MATERIEL DE MAINTENANCE A GAYA</t>
  </si>
  <si>
    <t>DESIGNATION DES OUVRAGES</t>
  </si>
  <si>
    <t>Unité</t>
  </si>
  <si>
    <t>Quantité</t>
  </si>
  <si>
    <t>P. Unitaire</t>
  </si>
  <si>
    <t>P. Total</t>
  </si>
  <si>
    <t>I</t>
  </si>
  <si>
    <t>TERRASSEMENTS</t>
  </si>
  <si>
    <t>1.1</t>
  </si>
  <si>
    <t>Implantation du bâtiment</t>
  </si>
  <si>
    <t>m2</t>
  </si>
  <si>
    <t>1.2</t>
  </si>
  <si>
    <t>Fouilles en rigole pour semelles filantes</t>
  </si>
  <si>
    <t>m3</t>
  </si>
  <si>
    <t>1.3</t>
  </si>
  <si>
    <t>Remblai des fouilles avec reprise des déblais</t>
  </si>
  <si>
    <t>1.4</t>
  </si>
  <si>
    <t>Remblai latéritique arrosé et compacté sous dallage</t>
  </si>
  <si>
    <t>SOUS-TOTAL 1</t>
  </si>
  <si>
    <t>II</t>
  </si>
  <si>
    <t>BETONS  ARMES, MACONNERIES</t>
  </si>
  <si>
    <t>2.1</t>
  </si>
  <si>
    <t>Béton de propreté dosé à 150 kg/m3 pour semelles filantes</t>
  </si>
  <si>
    <t>2.2</t>
  </si>
  <si>
    <t>Béton armé dosé à 350 kg/m3 pour semelles filantes</t>
  </si>
  <si>
    <t>2.3</t>
  </si>
  <si>
    <t>Béton armé dosé à 350 kg/m3 pour amorce poteaux de 20x20</t>
  </si>
  <si>
    <t>2.4</t>
  </si>
  <si>
    <t>Béton armé dosé à 350 kg/m3 pour chainage bas</t>
  </si>
  <si>
    <t>2.5</t>
  </si>
  <si>
    <t xml:space="preserve">                                                                                           Béton forme d'aire armée de treillis  dosé à 350 kg/m3</t>
  </si>
  <si>
    <t>2.6</t>
  </si>
  <si>
    <t>Béton armé dosé à 350 kg/m3 pour poteaux en élevation de 20x20</t>
  </si>
  <si>
    <t>2.7</t>
  </si>
  <si>
    <t>Béton armé dosé à 350 kg/m3 pour appui fenêtre</t>
  </si>
  <si>
    <t>2.8</t>
  </si>
  <si>
    <t>Béton armé dosé à 350 kg/m3 pour chainage linteau</t>
  </si>
  <si>
    <t>2.9</t>
  </si>
  <si>
    <t>Béton armé dosé à 350 kg/m3 pour dalle au dessus des fenêtres</t>
  </si>
  <si>
    <t>2.10</t>
  </si>
  <si>
    <t>Béton armé pour ancrage IPN</t>
  </si>
  <si>
    <t>2.11</t>
  </si>
  <si>
    <t>Béton armé dosé à 350 kg/m3 pour chainage au dessus des aérations</t>
  </si>
  <si>
    <t>2.12</t>
  </si>
  <si>
    <t>Béton armé pour chainage haut</t>
  </si>
  <si>
    <t>2.13</t>
  </si>
  <si>
    <t>Béton armé pour marche d'accès</t>
  </si>
  <si>
    <t>2.14</t>
  </si>
  <si>
    <t>Béton armé pour rampe</t>
  </si>
  <si>
    <t>2.15</t>
  </si>
  <si>
    <t>Maçonnerie en aglos pleins de 20x20x40 pour soubassement</t>
  </si>
  <si>
    <t>2.16</t>
  </si>
  <si>
    <t>Maçonnerie en élevation en agglos creux de 15x20x40</t>
  </si>
  <si>
    <t>2.17</t>
  </si>
  <si>
    <t>Protection autour du batiment en gros béton lissé à la surface</t>
  </si>
  <si>
    <t>SOUS-TOTAL 2</t>
  </si>
  <si>
    <t>III</t>
  </si>
  <si>
    <t>ENDUITS, REVETEMENTS, CARRELAGE</t>
  </si>
  <si>
    <t>3.1</t>
  </si>
  <si>
    <t>Enduit ciment extérieur dosé à 400 kg/m3</t>
  </si>
  <si>
    <t>3.2</t>
  </si>
  <si>
    <t>Enduit tyrolien extérieur</t>
  </si>
  <si>
    <t>3.3</t>
  </si>
  <si>
    <t>Enduit ciment intérieur dosé à 400kg/m3 y compris enduit peintre et toutes sujétions</t>
  </si>
  <si>
    <t>3.4</t>
  </si>
  <si>
    <t>Carreaux grès cérame au sol + plinthe</t>
  </si>
  <si>
    <t>SOUS-TOTAL 3</t>
  </si>
  <si>
    <t>IV</t>
  </si>
  <si>
    <t>CHARPENTE, COUVERTURE, ETANCHEITE</t>
  </si>
  <si>
    <t>4.1</t>
  </si>
  <si>
    <t>Fourniture et pose d'IPN de 100 pour traverse</t>
  </si>
  <si>
    <t>ml</t>
  </si>
  <si>
    <t>4.2</t>
  </si>
  <si>
    <t xml:space="preserve">Fourniture et pose de panne en IPN de 80 </t>
  </si>
  <si>
    <t>4.3</t>
  </si>
  <si>
    <t>Fourniture et pose de feutre butimineux</t>
  </si>
  <si>
    <t>4.4</t>
  </si>
  <si>
    <t>Fourniture et pose de bac alu 6/10ème pour toiture y compris crochets, rondelles et toutes sujétions</t>
  </si>
  <si>
    <t>4.5</t>
  </si>
  <si>
    <t>Etancheité pax alu sur toiture</t>
  </si>
  <si>
    <t>4.6</t>
  </si>
  <si>
    <t>Fourniture et pose de faux plafond en contreplaqué de 5 mm y compris toutes sujétions (lambourdes, baguettes,etc)</t>
  </si>
  <si>
    <t>SOUS-TOTAL 4</t>
  </si>
  <si>
    <t>V</t>
  </si>
  <si>
    <t>MENUISERIE METALLIQUE</t>
  </si>
  <si>
    <t>5.1</t>
  </si>
  <si>
    <t>Fourniture et pose de porte métallique d'entrée en tole pleine de 2mm double face de 150x250 y compris anti rouille et serrure à 5 clés</t>
  </si>
  <si>
    <t>U</t>
  </si>
  <si>
    <t>5.2</t>
  </si>
  <si>
    <t>Fourniture et pose de grille métallique à motifs pour fenetres de dimensions 120x150 y compris toutes sujetions</t>
  </si>
  <si>
    <t>5.3</t>
  </si>
  <si>
    <t>Fourniture et pose de cadre aluminium vitré de dimensions 120x150 y compris toutes sujetions</t>
  </si>
  <si>
    <t>5.4</t>
  </si>
  <si>
    <t>Fourniture et pose d'aération métallique avec tole perforée de 120X40</t>
  </si>
  <si>
    <t>SOUS-TOTAL 5</t>
  </si>
  <si>
    <t>VI</t>
  </si>
  <si>
    <t>PEINTURE, VITRERIE, MIROITERIE</t>
  </si>
  <si>
    <t>6.1</t>
  </si>
  <si>
    <t>Peinture à huile sur murs intérieurs</t>
  </si>
  <si>
    <t>6.2</t>
  </si>
  <si>
    <t>peinture à huile sur faux plafond</t>
  </si>
  <si>
    <t>6.3</t>
  </si>
  <si>
    <t>Peinture sur porte et grille métallique</t>
  </si>
  <si>
    <t>SOUS-TOTAL 6</t>
  </si>
  <si>
    <t>VII</t>
  </si>
  <si>
    <t>PLOMBERIE</t>
  </si>
  <si>
    <t>7.1</t>
  </si>
  <si>
    <t>Fourniture et pose de tuyaux PVC de 75 pour évacuation des eaux vers le puisard y compris toutes sujetions</t>
  </si>
  <si>
    <t>ff</t>
  </si>
  <si>
    <t>7.2</t>
  </si>
  <si>
    <t>Fourniture et pose de tuyauterie d'alimentation d'eau courante en PPR y compris toutes sujetions</t>
  </si>
  <si>
    <t>7.3</t>
  </si>
  <si>
    <t>Fourniture et pose d'un regard de visite</t>
  </si>
  <si>
    <t>u</t>
  </si>
  <si>
    <t>7.4</t>
  </si>
  <si>
    <t>Fourniture et pose d'un lave main</t>
  </si>
  <si>
    <t>SOUS-TOTAL 7</t>
  </si>
  <si>
    <t>VIII</t>
  </si>
  <si>
    <t>ELECTRICITE</t>
  </si>
  <si>
    <t>8.1</t>
  </si>
  <si>
    <t>Branchement du batiment au coffret du batiment de l'AMD par cable de 4x25mm2</t>
  </si>
  <si>
    <t>8.2</t>
  </si>
  <si>
    <t>Mise à la terre du batiment y compris toutes sujétions</t>
  </si>
  <si>
    <t>8.3</t>
  </si>
  <si>
    <t>Filerie interne de distribution</t>
  </si>
  <si>
    <t>8.4</t>
  </si>
  <si>
    <t>Fourniture et pose de reglette de 120 LED + toutes suggestions</t>
  </si>
  <si>
    <t>8.5</t>
  </si>
  <si>
    <t>Fourniture et pose de globe pour éclairage extérieur</t>
  </si>
  <si>
    <t>8.6</t>
  </si>
  <si>
    <t>Fourniture et pose d'interrupteur SA</t>
  </si>
  <si>
    <t>8.7</t>
  </si>
  <si>
    <t>Fourniture et pose de prises 16A+T</t>
  </si>
  <si>
    <t>8.8</t>
  </si>
  <si>
    <t>Fourniture et pose de brasseur d'air y compris toutes sujetions</t>
  </si>
  <si>
    <t>8.9</t>
  </si>
  <si>
    <t>Fourniture et pose extincteur à poudre ABC de 6 kg</t>
  </si>
  <si>
    <t>SOUS-TOTAL 8</t>
  </si>
  <si>
    <t>TOTAL DES TRAVAUX HANGAR MAINTENANCE HT/HD AMD GOTHEYE (f CFA)</t>
  </si>
  <si>
    <t>TOTAL DES TRAVAUX HANGAR MAINTENANCE HT/HD AMD GOTHEYE (euros)</t>
  </si>
  <si>
    <t>CADRE BPU POUR LA CONSTRUCTION DE HANGAR POUR MATERIEL DE MAINTENANCE A GAYA</t>
  </si>
  <si>
    <t>P. Unitaire en chiffres</t>
  </si>
  <si>
    <t>P. Unitaire en lettres</t>
  </si>
  <si>
    <t>DEVIS QUANTITATIF ESTIMATIF POUR LA CONSTRUCTION DU CAJ YELOU GAYA</t>
  </si>
  <si>
    <t>Fouilles en rigoles pour semelles filantes</t>
  </si>
  <si>
    <t>BETONS  ARMES - MACONNERIES</t>
  </si>
  <si>
    <t>Béton armé dosé à 350 kg/m3 pour amorce poteaux de 20x20x40</t>
  </si>
  <si>
    <t>Béton forme d'aire armée de treillis soudés dosé à 350 kg/m3</t>
  </si>
  <si>
    <t xml:space="preserve">Béton armé dosé à 350 kg/m3 pour poteaux en élevation </t>
  </si>
  <si>
    <t>F P des aérations de 15x15</t>
  </si>
  <si>
    <t>Béton armé pour ancrage IPN et tubes carrés</t>
  </si>
  <si>
    <t>Béton armé pour rampe et marche</t>
  </si>
  <si>
    <t>Gros béton pour protection soubassement</t>
  </si>
  <si>
    <t>ENDUITS - REVETEMENTS</t>
  </si>
  <si>
    <t>Enduit ciment extérieur dosé à 350 kg/m3</t>
  </si>
  <si>
    <t xml:space="preserve">Enduit ciment intérieur dosé à 300kg/m3 </t>
  </si>
  <si>
    <t xml:space="preserve">Carreaux grès cérame au sol </t>
  </si>
  <si>
    <t>Founiture et pose de plinthe de 10 cm de hauteur</t>
  </si>
  <si>
    <t xml:space="preserve">CHARPENTE - COUVERTURE </t>
  </si>
  <si>
    <t>F P IPN de 80 pour charpente du bâtiment</t>
  </si>
  <si>
    <t>F P tube carré de 50 pour hangard</t>
  </si>
  <si>
    <t>Fourniture et pose de feutre bitumineux</t>
  </si>
  <si>
    <t>Fourniture et pose de bac alu 5/10ème pour toiture bâtiment y compris crochets, rondelles et toutes sujétions</t>
  </si>
  <si>
    <t>Fourniture et pose de bac alu 5/10ème pour hangar y compris crochets, rondelles et toutes sujétions</t>
  </si>
  <si>
    <t>Fourniture et pose de faux plafond en contre plaqué de 5 mm y compris toutes sujétions (lambourdes, baguettes,etc)</t>
  </si>
  <si>
    <t>Fourniture et pose de porte métallique d'entrée en tole pleine double face de 150x220 y compris anti rouille et serrure à 5 clés</t>
  </si>
  <si>
    <t>Fourniture et pose de porte métallique d'entrée en tole pleine double face de 120x220 y compris anti rouille et serrure à 5 clés</t>
  </si>
  <si>
    <t>Fourniture et pose de porte métallique en tole pleine  double face de 80X220  y compris anti rouille et serrure à 5 clés</t>
  </si>
  <si>
    <t>Fourniture et pose  fenetres en tole pleine de dimensions 80x120 y compris toutes sujetions (salle de réunion)</t>
  </si>
  <si>
    <t>PEINTURE - VITRERIE</t>
  </si>
  <si>
    <t>Peinture à eau y compris enduit peintre sur murs intérieurs</t>
  </si>
  <si>
    <t>peinture fom sur faux plafond</t>
  </si>
  <si>
    <t>Peinture à huile sur menuiserie métalliques</t>
  </si>
  <si>
    <t>PLOMBERIE - SANITAIRE</t>
  </si>
  <si>
    <t>IX</t>
  </si>
  <si>
    <t>installation solaire (pose de panneaux, fourniture des batéries et autres  accessoires de pose, foureautage, filerie, pose des appareils) y compris  toutes sujétions</t>
  </si>
  <si>
    <t>1 ens</t>
  </si>
  <si>
    <t>Fourniture et pose de lampadaire solaire pour éclairage autour du bloc des bâtiments</t>
  </si>
  <si>
    <t>F P extincteur ABC</t>
  </si>
  <si>
    <t>SOUS-TOTAL 9</t>
  </si>
  <si>
    <t>TOTAL DES TRAVAUX CAJ Yélou (Gaya) (f CFA)</t>
  </si>
  <si>
    <t>TOTAL DES TRAVAUX HT/HD CAJ Yélou Gaya (euros)</t>
  </si>
  <si>
    <t>CONSTRUCTION D'UNE TOILETTE DOUBLE CABINES POUR LE CAJ DE YELOU</t>
  </si>
  <si>
    <t>N°</t>
  </si>
  <si>
    <t>Désignations</t>
  </si>
  <si>
    <t>Unités</t>
  </si>
  <si>
    <t>Qtés</t>
  </si>
  <si>
    <t>Prix U</t>
  </si>
  <si>
    <t>Prix Total</t>
  </si>
  <si>
    <t>Terrassement</t>
  </si>
  <si>
    <t>Préparation du terrain</t>
  </si>
  <si>
    <t xml:space="preserve">Implantation </t>
  </si>
  <si>
    <t>Fouilles en pleine masse pour fosse</t>
  </si>
  <si>
    <t xml:space="preserve">Fouille en rigole </t>
  </si>
  <si>
    <t>Remblai de fouille</t>
  </si>
  <si>
    <t>Sous total 1</t>
  </si>
  <si>
    <t>Maçonnerie - BA</t>
  </si>
  <si>
    <t>Béton de propreté dosé à 150kg/m3 sous radier fosse</t>
  </si>
  <si>
    <t>Béton de propreté dosé à 150 kg/m3 pour semelle filante</t>
  </si>
  <si>
    <t>BA dosé à 350kg/m3 pour fond de fosse</t>
  </si>
  <si>
    <t>BA dosé à 350 kg/m3 pour semelle filante</t>
  </si>
  <si>
    <t>BA dosé à 350kg/m3 pour poteaux fosse</t>
  </si>
  <si>
    <t>Maçonnerie en agglos pleins de 15x20x40 pour fosse</t>
  </si>
  <si>
    <t>BA dosé à 350 kg/m3 pour poteaux en élevation</t>
  </si>
  <si>
    <t>BA dosé à 350 kg/m3 pour poutre</t>
  </si>
  <si>
    <t>BA dosé à 350 kg/m3 pour dalle de fosse</t>
  </si>
  <si>
    <t>Maçonnerie en agglos pleins de 15x20x40 pour soubassement</t>
  </si>
  <si>
    <t>Maçonnerie en agglos creux de 15x20x40</t>
  </si>
  <si>
    <t>BA dosé à 350 kg/m3 pour CH linteau</t>
  </si>
  <si>
    <t>BA dosé à 350 kg/m3 pour ancrage tubes carrés</t>
  </si>
  <si>
    <t>BA dosé à 350 kg/m3 pour forme d'aire</t>
  </si>
  <si>
    <t>BA dosé à 350 kg/m3 pour marches</t>
  </si>
  <si>
    <t>Sous total 2</t>
  </si>
  <si>
    <t>Enduit - revêtement</t>
  </si>
  <si>
    <t>Enduit ciment lisse sur murs</t>
  </si>
  <si>
    <t>Enduit ciment dosé à 400 kg/m3 paroi fosse</t>
  </si>
  <si>
    <t>Enduit tyrolien sur murs extérieurs</t>
  </si>
  <si>
    <t>F P carreaux anti dérapant au sol</t>
  </si>
  <si>
    <t>F P carreaux faiences</t>
  </si>
  <si>
    <t>Sous total 3</t>
  </si>
  <si>
    <t>Menuiseries métalliques</t>
  </si>
  <si>
    <t>F P de porte métallique de 80X220</t>
  </si>
  <si>
    <t>Sous total 4</t>
  </si>
  <si>
    <t>Charpente - Couverture</t>
  </si>
  <si>
    <t>FP de tube carré de 50</t>
  </si>
  <si>
    <t>Couverture en tôle bac alu 4/10e Y C toutes sujétions</t>
  </si>
  <si>
    <t>Sous total 5</t>
  </si>
  <si>
    <t>Peinture</t>
  </si>
  <si>
    <t>Peinture à huile sur menuiseries</t>
  </si>
  <si>
    <t>Sous total 6</t>
  </si>
  <si>
    <t>Plomberie - Sanitaires</t>
  </si>
  <si>
    <t>F P de WC à la Turcque Y C toutes sujétions</t>
  </si>
  <si>
    <t>F P de siphon de 75 au sol</t>
  </si>
  <si>
    <t>F P d'un robinet de puisage</t>
  </si>
  <si>
    <t>F P de colonne de douche Y C toutes sujétions</t>
  </si>
  <si>
    <t>Tuyaux de 120 de Diam pour aération fosse avec té au dessus</t>
  </si>
  <si>
    <t>Construction de regard</t>
  </si>
  <si>
    <t>Sous total 7</t>
  </si>
  <si>
    <t>Assainissement</t>
  </si>
  <si>
    <t>Construction d'un puisard de 3m de profondeur + raccordement YC toutes sujétions</t>
  </si>
  <si>
    <t>Sous total 8</t>
  </si>
  <si>
    <t>TOTAL TOILETTE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</si>
</sst>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2"/>
      <name val="Times New Roman"/>
      <family val="1"/>
    </font>
    <font>
      <sz val="11"/>
      <color rgb="FFFFFF00"/>
      <name val="Arial Narrow"/>
      <family val="2"/>
    </font>
    <font>
      <sz val="12"/>
      <name val="Times New Roman"/>
      <family val="1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0" borderId="0"/>
  </cellStyleXfs>
  <cellXfs count="149">
    <xf numFmtId="0" fontId="0" fillId="0" borderId="0" xfId="0"/>
    <xf numFmtId="164" fontId="0" fillId="0" borderId="0" xfId="1" applyNumberFormat="1" applyFont="1"/>
    <xf numFmtId="3" fontId="3" fillId="0" borderId="0" xfId="0" applyNumberFormat="1" applyFont="1"/>
    <xf numFmtId="0" fontId="3" fillId="0" borderId="0" xfId="0" applyFont="1"/>
    <xf numFmtId="164" fontId="3" fillId="0" borderId="0" xfId="1" applyNumberFormat="1" applyFont="1"/>
    <xf numFmtId="3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left"/>
    </xf>
    <xf numFmtId="0" fontId="2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164" fontId="3" fillId="0" borderId="4" xfId="1" applyNumberFormat="1" applyFont="1" applyBorder="1"/>
    <xf numFmtId="3" fontId="3" fillId="0" borderId="4" xfId="0" applyNumberFormat="1" applyFont="1" applyBorder="1" applyAlignment="1">
      <alignment horizontal="left"/>
    </xf>
    <xf numFmtId="43" fontId="0" fillId="0" borderId="4" xfId="1" applyFont="1" applyBorder="1"/>
    <xf numFmtId="165" fontId="3" fillId="0" borderId="4" xfId="0" applyNumberFormat="1" applyFont="1" applyBorder="1"/>
    <xf numFmtId="165" fontId="2" fillId="0" borderId="4" xfId="0" applyNumberFormat="1" applyFont="1" applyBorder="1"/>
    <xf numFmtId="0" fontId="3" fillId="0" borderId="4" xfId="0" applyFont="1" applyBorder="1" applyAlignment="1">
      <alignment wrapText="1"/>
    </xf>
    <xf numFmtId="3" fontId="3" fillId="0" borderId="4" xfId="0" applyNumberFormat="1" applyFont="1" applyBorder="1"/>
    <xf numFmtId="3" fontId="2" fillId="0" borderId="4" xfId="0" applyNumberFormat="1" applyFont="1" applyBorder="1"/>
    <xf numFmtId="16" fontId="0" fillId="0" borderId="0" xfId="0" applyNumberFormat="1"/>
    <xf numFmtId="0" fontId="4" fillId="0" borderId="4" xfId="0" applyFont="1" applyBorder="1" applyAlignment="1">
      <alignment horizontal="center"/>
    </xf>
    <xf numFmtId="3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5" fontId="2" fillId="0" borderId="6" xfId="0" applyNumberFormat="1" applyFont="1" applyBorder="1"/>
    <xf numFmtId="3" fontId="2" fillId="0" borderId="6" xfId="0" applyNumberFormat="1" applyFont="1" applyBorder="1"/>
    <xf numFmtId="164" fontId="2" fillId="0" borderId="4" xfId="1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/>
    </xf>
    <xf numFmtId="41" fontId="3" fillId="0" borderId="0" xfId="2" applyFont="1"/>
    <xf numFmtId="3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41" fontId="2" fillId="0" borderId="11" xfId="2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/>
    </xf>
    <xf numFmtId="0" fontId="2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13" xfId="0" applyFont="1" applyBorder="1"/>
    <xf numFmtId="41" fontId="3" fillId="0" borderId="13" xfId="2" applyFont="1" applyBorder="1"/>
    <xf numFmtId="3" fontId="3" fillId="0" borderId="4" xfId="0" applyNumberFormat="1" applyFont="1" applyBorder="1" applyAlignment="1">
      <alignment horizontal="center"/>
    </xf>
    <xf numFmtId="41" fontId="3" fillId="0" borderId="4" xfId="2" applyFont="1" applyBorder="1"/>
    <xf numFmtId="0" fontId="3" fillId="0" borderId="13" xfId="0" applyFont="1" applyBorder="1" applyAlignment="1">
      <alignment wrapText="1"/>
    </xf>
    <xf numFmtId="3" fontId="3" fillId="0" borderId="5" xfId="0" applyNumberFormat="1" applyFont="1" applyBorder="1" applyAlignment="1">
      <alignment horizontal="center"/>
    </xf>
    <xf numFmtId="0" fontId="2" fillId="0" borderId="5" xfId="0" applyFont="1" applyBorder="1"/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41" fontId="3" fillId="0" borderId="5" xfId="2" applyFont="1" applyBorder="1"/>
    <xf numFmtId="165" fontId="2" fillId="0" borderId="5" xfId="0" applyNumberFormat="1" applyFont="1" applyBorder="1"/>
    <xf numFmtId="3" fontId="2" fillId="0" borderId="10" xfId="0" applyNumberFormat="1" applyFont="1" applyBorder="1" applyAlignment="1">
      <alignment horizontal="center"/>
    </xf>
    <xf numFmtId="0" fontId="2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1" xfId="0" applyFont="1" applyBorder="1"/>
    <xf numFmtId="41" fontId="3" fillId="0" borderId="11" xfId="2" applyFont="1" applyBorder="1"/>
    <xf numFmtId="165" fontId="3" fillId="0" borderId="12" xfId="0" applyNumberFormat="1" applyFont="1" applyBorder="1"/>
    <xf numFmtId="3" fontId="3" fillId="0" borderId="13" xfId="0" applyNumberFormat="1" applyFont="1" applyBorder="1" applyAlignment="1">
      <alignment horizontal="center"/>
    </xf>
    <xf numFmtId="43" fontId="0" fillId="0" borderId="13" xfId="1" applyFont="1" applyBorder="1"/>
    <xf numFmtId="165" fontId="3" fillId="0" borderId="13" xfId="0" applyNumberFormat="1" applyFont="1" applyBorder="1"/>
    <xf numFmtId="43" fontId="0" fillId="0" borderId="4" xfId="1" applyFont="1" applyFill="1" applyBorder="1"/>
    <xf numFmtId="3" fontId="3" fillId="0" borderId="14" xfId="0" applyNumberFormat="1" applyFont="1" applyBorder="1" applyAlignment="1">
      <alignment horizontal="center"/>
    </xf>
    <xf numFmtId="0" fontId="3" fillId="0" borderId="15" xfId="0" applyFont="1" applyBorder="1" applyAlignment="1">
      <alignment wrapText="1"/>
    </xf>
    <xf numFmtId="0" fontId="3" fillId="0" borderId="15" xfId="0" applyFont="1" applyBorder="1" applyAlignment="1">
      <alignment horizontal="center"/>
    </xf>
    <xf numFmtId="43" fontId="0" fillId="0" borderId="15" xfId="1" applyFont="1" applyBorder="1"/>
    <xf numFmtId="41" fontId="3" fillId="0" borderId="15" xfId="2" applyFont="1" applyBorder="1"/>
    <xf numFmtId="165" fontId="3" fillId="0" borderId="16" xfId="0" applyNumberFormat="1" applyFont="1" applyBorder="1"/>
    <xf numFmtId="3" fontId="3" fillId="0" borderId="10" xfId="0" applyNumberFormat="1" applyFont="1" applyBorder="1" applyAlignment="1">
      <alignment horizontal="center"/>
    </xf>
    <xf numFmtId="165" fontId="2" fillId="0" borderId="12" xfId="0" applyNumberFormat="1" applyFont="1" applyBorder="1"/>
    <xf numFmtId="0" fontId="3" fillId="0" borderId="5" xfId="0" applyFont="1" applyBorder="1" applyAlignment="1">
      <alignment wrapText="1"/>
    </xf>
    <xf numFmtId="43" fontId="0" fillId="0" borderId="5" xfId="1" applyFont="1" applyFill="1" applyBorder="1"/>
    <xf numFmtId="165" fontId="3" fillId="0" borderId="5" xfId="0" applyNumberFormat="1" applyFont="1" applyBorder="1"/>
    <xf numFmtId="43" fontId="0" fillId="0" borderId="11" xfId="1" applyFont="1" applyFill="1" applyBorder="1"/>
    <xf numFmtId="3" fontId="2" fillId="0" borderId="4" xfId="0" applyNumberFormat="1" applyFont="1" applyBorder="1" applyAlignment="1">
      <alignment horizontal="center"/>
    </xf>
    <xf numFmtId="2" fontId="3" fillId="0" borderId="4" xfId="0" applyNumberFormat="1" applyFont="1" applyBorder="1"/>
    <xf numFmtId="3" fontId="3" fillId="0" borderId="15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43" fontId="0" fillId="0" borderId="13" xfId="1" applyFont="1" applyFill="1" applyBorder="1"/>
    <xf numFmtId="3" fontId="2" fillId="0" borderId="17" xfId="0" applyNumberFormat="1" applyFont="1" applyBorder="1" applyAlignment="1">
      <alignment horizontal="center"/>
    </xf>
    <xf numFmtId="0" fontId="2" fillId="0" borderId="18" xfId="0" applyFont="1" applyBorder="1"/>
    <xf numFmtId="0" fontId="3" fillId="0" borderId="18" xfId="0" applyFont="1" applyBorder="1" applyAlignment="1">
      <alignment horizontal="center"/>
    </xf>
    <xf numFmtId="0" fontId="3" fillId="0" borderId="18" xfId="0" applyFont="1" applyBorder="1"/>
    <xf numFmtId="41" fontId="3" fillId="0" borderId="18" xfId="2" applyFont="1" applyBorder="1"/>
    <xf numFmtId="165" fontId="3" fillId="0" borderId="19" xfId="0" applyNumberFormat="1" applyFont="1" applyBorder="1"/>
    <xf numFmtId="41" fontId="0" fillId="0" borderId="0" xfId="2" applyFont="1"/>
    <xf numFmtId="0" fontId="7" fillId="0" borderId="0" xfId="3" applyFont="1"/>
    <xf numFmtId="0" fontId="7" fillId="0" borderId="0" xfId="3" applyFont="1" applyAlignment="1">
      <alignment horizontal="center"/>
    </xf>
    <xf numFmtId="0" fontId="7" fillId="3" borderId="0" xfId="3" applyFont="1" applyFill="1" applyAlignment="1">
      <alignment horizontal="center"/>
    </xf>
    <xf numFmtId="3" fontId="8" fillId="0" borderId="4" xfId="3" applyNumberFormat="1" applyFont="1" applyBorder="1" applyAlignment="1">
      <alignment horizontal="center"/>
    </xf>
    <xf numFmtId="3" fontId="8" fillId="0" borderId="9" xfId="3" applyNumberFormat="1" applyFont="1" applyBorder="1" applyAlignment="1">
      <alignment horizontal="center" vertical="center"/>
    </xf>
    <xf numFmtId="3" fontId="7" fillId="3" borderId="0" xfId="3" applyNumberFormat="1" applyFont="1" applyFill="1" applyAlignment="1">
      <alignment horizontal="center"/>
    </xf>
    <xf numFmtId="0" fontId="9" fillId="4" borderId="0" xfId="3" applyFont="1" applyFill="1" applyAlignment="1">
      <alignment horizontal="center"/>
    </xf>
    <xf numFmtId="3" fontId="10" fillId="0" borderId="4" xfId="3" applyNumberFormat="1" applyFont="1" applyBorder="1" applyAlignment="1">
      <alignment horizontal="center"/>
    </xf>
    <xf numFmtId="3" fontId="10" fillId="4" borderId="4" xfId="3" applyNumberFormat="1" applyFont="1" applyFill="1" applyBorder="1" applyAlignment="1">
      <alignment horizontal="center" vertical="center"/>
    </xf>
    <xf numFmtId="2" fontId="10" fillId="0" borderId="4" xfId="3" applyNumberFormat="1" applyFont="1" applyBorder="1" applyAlignment="1">
      <alignment horizontal="center" vertical="center"/>
    </xf>
    <xf numFmtId="0" fontId="10" fillId="4" borderId="4" xfId="3" applyFont="1" applyFill="1" applyBorder="1" applyAlignment="1">
      <alignment horizontal="left" vertical="center"/>
    </xf>
    <xf numFmtId="0" fontId="10" fillId="0" borderId="4" xfId="3" applyFont="1" applyBorder="1" applyAlignment="1">
      <alignment horizontal="center" vertical="center"/>
    </xf>
    <xf numFmtId="3" fontId="10" fillId="0" borderId="4" xfId="3" applyNumberFormat="1" applyFont="1" applyBorder="1" applyAlignment="1">
      <alignment horizontal="center" vertical="center"/>
    </xf>
    <xf numFmtId="0" fontId="10" fillId="0" borderId="4" xfId="3" applyFont="1" applyBorder="1" applyAlignment="1">
      <alignment horizontal="left" vertical="center"/>
    </xf>
    <xf numFmtId="0" fontId="7" fillId="0" borderId="0" xfId="3" applyFont="1" applyAlignment="1">
      <alignment horizontal="center" vertical="center"/>
    </xf>
    <xf numFmtId="0" fontId="8" fillId="2" borderId="13" xfId="3" applyFont="1" applyFill="1" applyBorder="1" applyAlignment="1">
      <alignment horizontal="center" vertical="center" wrapText="1"/>
    </xf>
    <xf numFmtId="0" fontId="8" fillId="2" borderId="20" xfId="3" applyFont="1" applyFill="1" applyBorder="1" applyAlignment="1">
      <alignment horizontal="center" vertical="center" wrapText="1"/>
    </xf>
    <xf numFmtId="0" fontId="8" fillId="2" borderId="13" xfId="3" applyFont="1" applyFill="1" applyBorder="1" applyAlignment="1">
      <alignment horizontal="center" vertical="center"/>
    </xf>
    <xf numFmtId="0" fontId="8" fillId="0" borderId="12" xfId="3" applyFont="1" applyBorder="1" applyAlignment="1">
      <alignment vertical="center"/>
    </xf>
    <xf numFmtId="0" fontId="5" fillId="0" borderId="0" xfId="0" applyFont="1" applyAlignment="1">
      <alignment horizontal="center"/>
    </xf>
    <xf numFmtId="0" fontId="11" fillId="0" borderId="0" xfId="0" applyFont="1"/>
    <xf numFmtId="43" fontId="5" fillId="0" borderId="0" xfId="1" applyFont="1" applyAlignment="1">
      <alignment horizontal="center"/>
    </xf>
    <xf numFmtId="41" fontId="5" fillId="0" borderId="0" xfId="2" applyFont="1" applyAlignment="1">
      <alignment horizontal="center"/>
    </xf>
    <xf numFmtId="0" fontId="5" fillId="0" borderId="0" xfId="0" applyFont="1"/>
    <xf numFmtId="0" fontId="12" fillId="0" borderId="5" xfId="0" applyFont="1" applyBorder="1" applyAlignment="1">
      <alignment horizontal="center"/>
    </xf>
    <xf numFmtId="0" fontId="12" fillId="0" borderId="5" xfId="0" applyFont="1" applyBorder="1"/>
    <xf numFmtId="41" fontId="12" fillId="0" borderId="5" xfId="2" applyFont="1" applyBorder="1" applyAlignment="1">
      <alignment horizontal="center"/>
    </xf>
    <xf numFmtId="41" fontId="12" fillId="0" borderId="5" xfId="2" applyFont="1" applyBorder="1"/>
    <xf numFmtId="0" fontId="11" fillId="0" borderId="5" xfId="0" applyFont="1" applyBorder="1"/>
    <xf numFmtId="0" fontId="13" fillId="0" borderId="5" xfId="0" applyFont="1" applyBorder="1" applyAlignment="1">
      <alignment horizontal="center"/>
    </xf>
    <xf numFmtId="0" fontId="13" fillId="0" borderId="5" xfId="0" applyFont="1" applyBorder="1"/>
    <xf numFmtId="41" fontId="13" fillId="0" borderId="5" xfId="2" applyFont="1" applyBorder="1" applyAlignment="1">
      <alignment horizontal="center"/>
    </xf>
    <xf numFmtId="41" fontId="13" fillId="0" borderId="5" xfId="2" applyFont="1" applyBorder="1"/>
    <xf numFmtId="0" fontId="13" fillId="0" borderId="13" xfId="0" applyFont="1" applyBorder="1" applyAlignment="1">
      <alignment wrapText="1"/>
    </xf>
    <xf numFmtId="41" fontId="11" fillId="0" borderId="5" xfId="2" applyFont="1" applyBorder="1"/>
    <xf numFmtId="0" fontId="11" fillId="0" borderId="5" xfId="0" applyFont="1" applyBorder="1" applyAlignment="1">
      <alignment horizontal="center"/>
    </xf>
    <xf numFmtId="0" fontId="11" fillId="0" borderId="4" xfId="0" applyFont="1" applyBorder="1"/>
    <xf numFmtId="0" fontId="13" fillId="0" borderId="4" xfId="0" applyFont="1" applyBorder="1" applyAlignment="1">
      <alignment wrapText="1"/>
    </xf>
    <xf numFmtId="0" fontId="11" fillId="0" borderId="13" xfId="0" applyFont="1" applyBorder="1" applyAlignment="1">
      <alignment wrapText="1"/>
    </xf>
    <xf numFmtId="0" fontId="13" fillId="0" borderId="4" xfId="0" applyFont="1" applyBorder="1"/>
    <xf numFmtId="0" fontId="13" fillId="0" borderId="4" xfId="0" applyFont="1" applyBorder="1" applyAlignment="1">
      <alignment horizontal="center"/>
    </xf>
    <xf numFmtId="41" fontId="13" fillId="0" borderId="4" xfId="2" applyFont="1" applyBorder="1" applyAlignment="1">
      <alignment horizontal="center"/>
    </xf>
    <xf numFmtId="0" fontId="13" fillId="0" borderId="5" xfId="0" applyFont="1" applyBorder="1" applyAlignment="1">
      <alignment wrapText="1"/>
    </xf>
    <xf numFmtId="0" fontId="11" fillId="0" borderId="10" xfId="0" applyFont="1" applyBorder="1" applyAlignment="1">
      <alignment horizontal="center"/>
    </xf>
    <xf numFmtId="0" fontId="11" fillId="0" borderId="11" xfId="0" applyFont="1" applyBorder="1"/>
    <xf numFmtId="0" fontId="11" fillId="0" borderId="11" xfId="0" applyFont="1" applyBorder="1" applyAlignment="1">
      <alignment horizontal="center"/>
    </xf>
    <xf numFmtId="41" fontId="11" fillId="0" borderId="11" xfId="2" applyFont="1" applyBorder="1" applyAlignment="1">
      <alignment horizontal="center"/>
    </xf>
    <xf numFmtId="41" fontId="11" fillId="0" borderId="12" xfId="2" applyFont="1" applyBorder="1"/>
    <xf numFmtId="0" fontId="0" fillId="0" borderId="0" xfId="0" applyAlignment="1">
      <alignment horizontal="center"/>
    </xf>
    <xf numFmtId="41" fontId="0" fillId="0" borderId="0" xfId="2" applyFont="1" applyAlignment="1">
      <alignment horizontal="center"/>
    </xf>
    <xf numFmtId="41" fontId="13" fillId="0" borderId="4" xfId="2" applyFont="1" applyBorder="1"/>
    <xf numFmtId="0" fontId="10" fillId="0" borderId="1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21" xfId="3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8" fillId="0" borderId="8" xfId="3" applyFont="1" applyBorder="1" applyAlignment="1">
      <alignment horizontal="center" vertical="center"/>
    </xf>
    <xf numFmtId="0" fontId="8" fillId="0" borderId="9" xfId="3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0" fillId="0" borderId="3" xfId="0" applyBorder="1" applyAlignment="1">
      <alignment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</cellXfs>
  <cellStyles count="4">
    <cellStyle name="Milliers" xfId="1" builtinId="3"/>
    <cellStyle name="Milliers [0] 2" xfId="2" xr:uid="{0ECD8D16-BC59-4903-8147-096E343F67EE}"/>
    <cellStyle name="Normal" xfId="0" builtinId="0"/>
    <cellStyle name="Normal 2 3" xfId="3" xr:uid="{3B08AB73-3262-4BE1-87ED-07C9728BC0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AB50B-D743-4ABF-ADB6-7829153962F8}">
  <sheetPr>
    <pageSetUpPr fitToPage="1"/>
  </sheetPr>
  <dimension ref="A1:G11"/>
  <sheetViews>
    <sheetView view="pageBreakPreview" zoomScale="140" zoomScaleNormal="100" zoomScaleSheetLayoutView="140" workbookViewId="0">
      <selection activeCell="D7" sqref="D7"/>
    </sheetView>
  </sheetViews>
  <sheetFormatPr baseColWidth="10" defaultColWidth="11.44140625" defaultRowHeight="13.8" x14ac:dyDescent="0.25"/>
  <cols>
    <col min="1" max="1" width="6.109375" style="83" customWidth="1"/>
    <col min="2" max="2" width="56" style="83" customWidth="1"/>
    <col min="3" max="3" width="13.44140625" style="83" customWidth="1"/>
    <col min="4" max="4" width="17" style="83" customWidth="1"/>
    <col min="5" max="5" width="19.109375" style="83" customWidth="1"/>
    <col min="6" max="16384" width="11.44140625" style="83"/>
  </cols>
  <sheetData>
    <row r="1" spans="1:7" ht="46.95" customHeight="1" thickBot="1" x14ac:dyDescent="0.3">
      <c r="A1" s="134" t="s">
        <v>0</v>
      </c>
      <c r="B1" s="135"/>
      <c r="C1" s="135"/>
      <c r="D1" s="135"/>
      <c r="E1" s="136"/>
      <c r="F1" s="101"/>
    </row>
    <row r="2" spans="1:7" s="97" customFormat="1" ht="22.5" customHeight="1" x14ac:dyDescent="0.3">
      <c r="A2" s="100" t="s">
        <v>1</v>
      </c>
      <c r="B2" s="100" t="s">
        <v>2</v>
      </c>
      <c r="C2" s="100" t="s">
        <v>3</v>
      </c>
      <c r="D2" s="99" t="s">
        <v>4</v>
      </c>
      <c r="E2" s="98" t="s">
        <v>5</v>
      </c>
    </row>
    <row r="3" spans="1:7" s="84" customFormat="1" ht="15.6" x14ac:dyDescent="0.3">
      <c r="A3" s="94">
        <v>1</v>
      </c>
      <c r="B3" s="96" t="s">
        <v>6</v>
      </c>
      <c r="C3" s="92">
        <v>1</v>
      </c>
      <c r="D3" s="95"/>
      <c r="E3" s="90">
        <f>+D3*C3</f>
        <v>0</v>
      </c>
    </row>
    <row r="4" spans="1:7" s="84" customFormat="1" ht="15.6" x14ac:dyDescent="0.3">
      <c r="A4" s="94">
        <f>A3+1</f>
        <v>2</v>
      </c>
      <c r="B4" s="96" t="s">
        <v>7</v>
      </c>
      <c r="C4" s="92">
        <v>1</v>
      </c>
      <c r="D4" s="95">
        <f>'DQE Maintenance'!F72</f>
        <v>0</v>
      </c>
      <c r="E4" s="90">
        <f>+D4*C4</f>
        <v>0</v>
      </c>
    </row>
    <row r="5" spans="1:7" s="89" customFormat="1" ht="15.6" x14ac:dyDescent="0.3">
      <c r="A5" s="94">
        <f t="shared" ref="A5:A7" si="0">A4+1</f>
        <v>3</v>
      </c>
      <c r="B5" s="93" t="s">
        <v>8</v>
      </c>
      <c r="C5" s="92">
        <v>1</v>
      </c>
      <c r="D5" s="91">
        <f>'DQE CAJ Yélou Gaya R'!F59</f>
        <v>0</v>
      </c>
      <c r="E5" s="90">
        <f>+D5*C5</f>
        <v>0</v>
      </c>
    </row>
    <row r="6" spans="1:7" s="89" customFormat="1" ht="15.6" x14ac:dyDescent="0.3">
      <c r="A6" s="94">
        <f t="shared" si="0"/>
        <v>4</v>
      </c>
      <c r="B6" s="93" t="s">
        <v>9</v>
      </c>
      <c r="C6" s="92">
        <v>1</v>
      </c>
      <c r="D6" s="91">
        <f>'DQE Toilettes CAJ Yelou Gaya'!F56</f>
        <v>0</v>
      </c>
      <c r="E6" s="90">
        <f>+D6*C6</f>
        <v>0</v>
      </c>
    </row>
    <row r="7" spans="1:7" s="89" customFormat="1" ht="15.6" x14ac:dyDescent="0.3">
      <c r="A7" s="94">
        <f t="shared" si="0"/>
        <v>5</v>
      </c>
      <c r="B7" s="93" t="s">
        <v>10</v>
      </c>
      <c r="C7" s="92">
        <v>1</v>
      </c>
      <c r="D7" s="91"/>
      <c r="E7" s="90">
        <f>+D7*C7</f>
        <v>0</v>
      </c>
    </row>
    <row r="8" spans="1:7" s="85" customFormat="1" ht="15.6" x14ac:dyDescent="0.3">
      <c r="A8" s="137" t="s">
        <v>11</v>
      </c>
      <c r="B8" s="137"/>
      <c r="C8" s="137"/>
      <c r="D8" s="137"/>
      <c r="E8" s="86">
        <f>+SUM(E3:E7)</f>
        <v>0</v>
      </c>
      <c r="G8" s="88"/>
    </row>
    <row r="9" spans="1:7" s="84" customFormat="1" ht="15.6" x14ac:dyDescent="0.25">
      <c r="A9" s="137" t="s">
        <v>12</v>
      </c>
      <c r="B9" s="137"/>
      <c r="C9" s="137"/>
      <c r="D9" s="137"/>
      <c r="E9" s="87">
        <f>E8/655.957</f>
        <v>0</v>
      </c>
    </row>
    <row r="10" spans="1:7" s="85" customFormat="1" ht="15" customHeight="1" x14ac:dyDescent="0.3">
      <c r="A10" s="137"/>
      <c r="B10" s="137"/>
      <c r="C10" s="137"/>
      <c r="D10" s="137"/>
      <c r="E10" s="86"/>
    </row>
    <row r="11" spans="1:7" s="84" customFormat="1" ht="15.6" x14ac:dyDescent="0.25">
      <c r="A11" s="138"/>
      <c r="B11" s="139"/>
      <c r="C11" s="139"/>
      <c r="D11" s="139"/>
      <c r="E11" s="140"/>
    </row>
  </sheetData>
  <mergeCells count="5">
    <mergeCell ref="A1:E1"/>
    <mergeCell ref="A8:D8"/>
    <mergeCell ref="A9:D9"/>
    <mergeCell ref="A10:D10"/>
    <mergeCell ref="A11:E11"/>
  </mergeCells>
  <pageMargins left="0.7" right="0.7" top="0.75" bottom="0.75" header="0.3" footer="0.3"/>
  <pageSetup paperSize="9" scale="78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62B92-D331-478D-A340-0E7619449CE7}">
  <dimension ref="A1:F56"/>
  <sheetViews>
    <sheetView topLeftCell="A49" workbookViewId="0">
      <selection activeCell="E54" sqref="E54:F56"/>
    </sheetView>
  </sheetViews>
  <sheetFormatPr baseColWidth="10" defaultColWidth="11.44140625" defaultRowHeight="14.4" x14ac:dyDescent="0.3"/>
  <cols>
    <col min="1" max="1" width="7.44140625" style="131" customWidth="1"/>
    <col min="2" max="2" width="59.109375" customWidth="1"/>
    <col min="3" max="3" width="9.109375" style="131" customWidth="1"/>
    <col min="4" max="4" width="10.44140625" style="131" customWidth="1"/>
    <col min="5" max="5" width="11.5546875" style="132"/>
    <col min="6" max="6" width="12.33203125" style="82" customWidth="1"/>
  </cols>
  <sheetData>
    <row r="1" spans="1:6" ht="15.6" x14ac:dyDescent="0.3">
      <c r="A1" s="102"/>
      <c r="B1" s="103" t="s">
        <v>195</v>
      </c>
      <c r="C1" s="102"/>
      <c r="D1" s="104"/>
      <c r="E1" s="105"/>
      <c r="F1" s="105"/>
    </row>
    <row r="2" spans="1:6" x14ac:dyDescent="0.3">
      <c r="A2" s="102"/>
      <c r="B2" s="106"/>
      <c r="C2" s="102"/>
      <c r="D2" s="104"/>
      <c r="E2" s="105"/>
      <c r="F2" s="105"/>
    </row>
    <row r="3" spans="1:6" ht="18" x14ac:dyDescent="0.35">
      <c r="A3" s="107" t="s">
        <v>196</v>
      </c>
      <c r="B3" s="108" t="s">
        <v>197</v>
      </c>
      <c r="C3" s="107" t="s">
        <v>198</v>
      </c>
      <c r="D3" s="107" t="s">
        <v>199</v>
      </c>
      <c r="E3" s="109" t="s">
        <v>200</v>
      </c>
      <c r="F3" s="110" t="s">
        <v>201</v>
      </c>
    </row>
    <row r="4" spans="1:6" ht="18" x14ac:dyDescent="0.35">
      <c r="A4" s="107" t="s">
        <v>19</v>
      </c>
      <c r="B4" s="111" t="s">
        <v>202</v>
      </c>
      <c r="C4" s="107"/>
      <c r="D4" s="107"/>
      <c r="E4" s="109"/>
      <c r="F4" s="110"/>
    </row>
    <row r="5" spans="1:6" ht="15.6" x14ac:dyDescent="0.3">
      <c r="A5" s="112">
        <v>1</v>
      </c>
      <c r="B5" s="113" t="s">
        <v>203</v>
      </c>
      <c r="C5" s="112" t="s">
        <v>23</v>
      </c>
      <c r="D5" s="112">
        <f>4.8*4.5</f>
        <v>21.599999999999998</v>
      </c>
      <c r="E5" s="114"/>
      <c r="F5" s="115"/>
    </row>
    <row r="6" spans="1:6" ht="15.6" x14ac:dyDescent="0.3">
      <c r="A6" s="112">
        <v>2</v>
      </c>
      <c r="B6" s="113" t="s">
        <v>204</v>
      </c>
      <c r="C6" s="112" t="s">
        <v>121</v>
      </c>
      <c r="D6" s="112">
        <v>1</v>
      </c>
      <c r="E6" s="114"/>
      <c r="F6" s="115"/>
    </row>
    <row r="7" spans="1:6" ht="15.6" x14ac:dyDescent="0.3">
      <c r="A7" s="112">
        <v>3</v>
      </c>
      <c r="B7" s="116" t="s">
        <v>205</v>
      </c>
      <c r="C7" s="112" t="s">
        <v>26</v>
      </c>
      <c r="D7" s="112">
        <f>3.3*3*2.5</f>
        <v>24.749999999999996</v>
      </c>
      <c r="E7" s="114"/>
      <c r="F7" s="115"/>
    </row>
    <row r="8" spans="1:6" ht="15.6" x14ac:dyDescent="0.3">
      <c r="A8" s="112">
        <v>4</v>
      </c>
      <c r="B8" s="116" t="s">
        <v>206</v>
      </c>
      <c r="C8" s="112" t="s">
        <v>26</v>
      </c>
      <c r="D8" s="112">
        <f>0.4*0.6*2.8</f>
        <v>0.67199999999999993</v>
      </c>
      <c r="E8" s="114"/>
      <c r="F8" s="115"/>
    </row>
    <row r="9" spans="1:6" ht="15.6" x14ac:dyDescent="0.3">
      <c r="A9" s="112">
        <v>5</v>
      </c>
      <c r="B9" s="116" t="s">
        <v>207</v>
      </c>
      <c r="C9" s="112" t="s">
        <v>26</v>
      </c>
      <c r="D9" s="112">
        <f>0.25*0.4*2.8</f>
        <v>0.27999999999999997</v>
      </c>
      <c r="E9" s="114"/>
      <c r="F9" s="115"/>
    </row>
    <row r="10" spans="1:6" ht="15.6" x14ac:dyDescent="0.3">
      <c r="A10" s="112"/>
      <c r="B10" s="111" t="s">
        <v>208</v>
      </c>
      <c r="C10" s="112"/>
      <c r="D10" s="112"/>
      <c r="E10" s="114"/>
      <c r="F10" s="117"/>
    </row>
    <row r="11" spans="1:6" ht="15.6" x14ac:dyDescent="0.3">
      <c r="A11" s="118" t="s">
        <v>32</v>
      </c>
      <c r="B11" s="119" t="s">
        <v>209</v>
      </c>
      <c r="C11" s="112"/>
      <c r="D11" s="112"/>
      <c r="E11" s="114"/>
      <c r="F11" s="115"/>
    </row>
    <row r="12" spans="1:6" ht="15.6" x14ac:dyDescent="0.3">
      <c r="A12" s="112">
        <v>1</v>
      </c>
      <c r="B12" s="116" t="s">
        <v>210</v>
      </c>
      <c r="C12" s="112" t="s">
        <v>26</v>
      </c>
      <c r="D12" s="112">
        <f>3*3.3*0.05</f>
        <v>0.49499999999999994</v>
      </c>
      <c r="E12" s="114"/>
      <c r="F12" s="115"/>
    </row>
    <row r="13" spans="1:6" ht="19.2" customHeight="1" x14ac:dyDescent="0.3">
      <c r="A13" s="112">
        <v>2</v>
      </c>
      <c r="B13" s="116" t="s">
        <v>211</v>
      </c>
      <c r="C13" s="112" t="s">
        <v>26</v>
      </c>
      <c r="D13" s="112">
        <f>0.4*0.05*2.8</f>
        <v>5.6000000000000008E-2</v>
      </c>
      <c r="E13" s="114"/>
      <c r="F13" s="115"/>
    </row>
    <row r="14" spans="1:6" ht="15.6" x14ac:dyDescent="0.3">
      <c r="A14" s="112">
        <v>3</v>
      </c>
      <c r="B14" s="116" t="s">
        <v>212</v>
      </c>
      <c r="C14" s="112" t="s">
        <v>26</v>
      </c>
      <c r="D14" s="112">
        <f>3*3.3*0.2</f>
        <v>1.9799999999999998</v>
      </c>
      <c r="E14" s="114"/>
      <c r="F14" s="115"/>
    </row>
    <row r="15" spans="1:6" ht="15.6" x14ac:dyDescent="0.3">
      <c r="A15" s="112">
        <v>4</v>
      </c>
      <c r="B15" s="116" t="s">
        <v>213</v>
      </c>
      <c r="C15" s="112" t="s">
        <v>26</v>
      </c>
      <c r="D15" s="112">
        <f>0.4*0.15*2.8</f>
        <v>0.16799999999999998</v>
      </c>
      <c r="E15" s="114"/>
      <c r="F15" s="115"/>
    </row>
    <row r="16" spans="1:6" ht="15.6" x14ac:dyDescent="0.3">
      <c r="A16" s="112">
        <v>5</v>
      </c>
      <c r="B16" s="116" t="s">
        <v>214</v>
      </c>
      <c r="C16" s="112" t="s">
        <v>26</v>
      </c>
      <c r="D16" s="112">
        <f>(6*0.15*0.15*2.5)</f>
        <v>0.33749999999999997</v>
      </c>
      <c r="E16" s="114"/>
      <c r="F16" s="115"/>
    </row>
    <row r="17" spans="1:6" ht="15.6" x14ac:dyDescent="0.3">
      <c r="A17" s="112">
        <v>6</v>
      </c>
      <c r="B17" s="116" t="s">
        <v>215</v>
      </c>
      <c r="C17" s="112" t="s">
        <v>23</v>
      </c>
      <c r="D17" s="112">
        <f>(2.8+2.95)*2*2.5</f>
        <v>28.75</v>
      </c>
      <c r="E17" s="114"/>
      <c r="F17" s="115"/>
    </row>
    <row r="18" spans="1:6" ht="15.6" x14ac:dyDescent="0.3">
      <c r="A18" s="112">
        <v>7</v>
      </c>
      <c r="B18" s="116" t="s">
        <v>216</v>
      </c>
      <c r="C18" s="112" t="s">
        <v>26</v>
      </c>
      <c r="D18" s="112">
        <f>(6*0.15*0.15*2.5)+(3*0.15*0.15*3)</f>
        <v>0.53999999999999992</v>
      </c>
      <c r="E18" s="114"/>
      <c r="F18" s="115"/>
    </row>
    <row r="19" spans="1:6" ht="15.6" x14ac:dyDescent="0.3">
      <c r="A19" s="112">
        <v>8</v>
      </c>
      <c r="B19" s="116" t="s">
        <v>217</v>
      </c>
      <c r="C19" s="112" t="s">
        <v>26</v>
      </c>
      <c r="D19" s="112">
        <f>2.4*0.15*0.3</f>
        <v>0.108</v>
      </c>
      <c r="E19" s="114"/>
      <c r="F19" s="115"/>
    </row>
    <row r="20" spans="1:6" ht="15.6" x14ac:dyDescent="0.3">
      <c r="A20" s="112">
        <v>9</v>
      </c>
      <c r="B20" s="116" t="s">
        <v>218</v>
      </c>
      <c r="C20" s="112" t="s">
        <v>26</v>
      </c>
      <c r="D20" s="112">
        <f>2.8*3*0.2</f>
        <v>1.6799999999999997</v>
      </c>
      <c r="E20" s="114"/>
      <c r="F20" s="115"/>
    </row>
    <row r="21" spans="1:6" ht="18.600000000000001" customHeight="1" x14ac:dyDescent="0.3">
      <c r="A21" s="112">
        <v>10</v>
      </c>
      <c r="B21" s="116" t="s">
        <v>219</v>
      </c>
      <c r="C21" s="112" t="s">
        <v>23</v>
      </c>
      <c r="D21" s="112">
        <f>0.25*2.8</f>
        <v>0.7</v>
      </c>
      <c r="E21" s="114"/>
      <c r="F21" s="115"/>
    </row>
    <row r="22" spans="1:6" ht="15.6" x14ac:dyDescent="0.3">
      <c r="A22" s="112">
        <v>11</v>
      </c>
      <c r="B22" s="116" t="s">
        <v>220</v>
      </c>
      <c r="C22" s="112" t="s">
        <v>23</v>
      </c>
      <c r="D22" s="112">
        <f>13.9*2.2</f>
        <v>30.580000000000002</v>
      </c>
      <c r="E22" s="114"/>
      <c r="F22" s="115"/>
    </row>
    <row r="23" spans="1:6" ht="15.6" x14ac:dyDescent="0.3">
      <c r="A23" s="112">
        <v>12</v>
      </c>
      <c r="B23" s="116" t="s">
        <v>221</v>
      </c>
      <c r="C23" s="112" t="s">
        <v>26</v>
      </c>
      <c r="D23" s="112">
        <f>13.9*0.15*0.2</f>
        <v>0.41700000000000004</v>
      </c>
      <c r="E23" s="114"/>
      <c r="F23" s="115"/>
    </row>
    <row r="24" spans="1:6" ht="15.6" x14ac:dyDescent="0.3">
      <c r="A24" s="112">
        <v>13</v>
      </c>
      <c r="B24" s="116" t="s">
        <v>222</v>
      </c>
      <c r="C24" s="112" t="s">
        <v>26</v>
      </c>
      <c r="D24" s="112">
        <f>8.6*0.15*0.2</f>
        <v>0.25799999999999995</v>
      </c>
      <c r="E24" s="114"/>
      <c r="F24" s="115"/>
    </row>
    <row r="25" spans="1:6" ht="15.6" x14ac:dyDescent="0.3">
      <c r="A25" s="112">
        <v>14</v>
      </c>
      <c r="B25" s="116" t="s">
        <v>223</v>
      </c>
      <c r="C25" s="112" t="s">
        <v>26</v>
      </c>
      <c r="D25" s="112">
        <f>1*2.8*0.1</f>
        <v>0.27999999999999997</v>
      </c>
      <c r="E25" s="114"/>
      <c r="F25" s="115"/>
    </row>
    <row r="26" spans="1:6" ht="15.6" x14ac:dyDescent="0.3">
      <c r="A26" s="112">
        <v>15</v>
      </c>
      <c r="B26" s="116" t="s">
        <v>224</v>
      </c>
      <c r="C26" s="112" t="s">
        <v>26</v>
      </c>
      <c r="D26" s="112">
        <f>((1*1*0.1)+(0.3*0.15/2*1*2))*2</f>
        <v>0.29000000000000004</v>
      </c>
      <c r="E26" s="114"/>
      <c r="F26" s="115"/>
    </row>
    <row r="27" spans="1:6" ht="15.6" x14ac:dyDescent="0.3">
      <c r="A27" s="112"/>
      <c r="B27" s="111" t="s">
        <v>225</v>
      </c>
      <c r="C27" s="112"/>
      <c r="D27" s="112"/>
      <c r="E27" s="114"/>
      <c r="F27" s="117"/>
    </row>
    <row r="28" spans="1:6" ht="15.6" x14ac:dyDescent="0.3">
      <c r="A28" s="118" t="s">
        <v>69</v>
      </c>
      <c r="B28" s="111" t="s">
        <v>226</v>
      </c>
      <c r="C28" s="112"/>
      <c r="D28" s="112"/>
      <c r="E28" s="114"/>
      <c r="F28" s="115"/>
    </row>
    <row r="29" spans="1:6" ht="15.6" x14ac:dyDescent="0.3">
      <c r="A29" s="112">
        <v>1</v>
      </c>
      <c r="B29" s="113" t="s">
        <v>227</v>
      </c>
      <c r="C29" s="112" t="s">
        <v>23</v>
      </c>
      <c r="D29" s="112">
        <f>9*2</f>
        <v>18</v>
      </c>
      <c r="E29" s="114"/>
      <c r="F29" s="115"/>
    </row>
    <row r="30" spans="1:6" ht="15.6" x14ac:dyDescent="0.3">
      <c r="A30" s="112">
        <v>2</v>
      </c>
      <c r="B30" s="116" t="s">
        <v>228</v>
      </c>
      <c r="C30" s="112" t="s">
        <v>23</v>
      </c>
      <c r="D30" s="112">
        <f>(2.5+2.2)*2*2.5</f>
        <v>23.5</v>
      </c>
      <c r="E30" s="114"/>
      <c r="F30" s="115"/>
    </row>
    <row r="31" spans="1:6" ht="15.6" x14ac:dyDescent="0.3">
      <c r="A31" s="112">
        <v>3</v>
      </c>
      <c r="B31" s="116" t="s">
        <v>229</v>
      </c>
      <c r="C31" s="112" t="s">
        <v>23</v>
      </c>
      <c r="D31" s="112">
        <f>(9.1*2)+(0.45*9.1)</f>
        <v>22.294999999999998</v>
      </c>
      <c r="E31" s="114"/>
      <c r="F31" s="115"/>
    </row>
    <row r="32" spans="1:6" ht="15.6" x14ac:dyDescent="0.3">
      <c r="A32" s="112">
        <v>4</v>
      </c>
      <c r="B32" s="113" t="s">
        <v>230</v>
      </c>
      <c r="C32" s="112" t="s">
        <v>23</v>
      </c>
      <c r="D32" s="112">
        <f>(1.7*1.05)*2+(0.85*2.5)</f>
        <v>5.6950000000000003</v>
      </c>
      <c r="E32" s="114"/>
      <c r="F32" s="115"/>
    </row>
    <row r="33" spans="1:6" ht="15.6" x14ac:dyDescent="0.3">
      <c r="A33" s="112">
        <v>5</v>
      </c>
      <c r="B33" s="113" t="s">
        <v>231</v>
      </c>
      <c r="C33" s="112" t="s">
        <v>23</v>
      </c>
      <c r="D33" s="112">
        <f>((1.7*4)+(1.05*2)+(0.4*2*2)+2.5)*1.6</f>
        <v>20.8</v>
      </c>
      <c r="E33" s="114"/>
      <c r="F33" s="115"/>
    </row>
    <row r="34" spans="1:6" ht="15.6" x14ac:dyDescent="0.3">
      <c r="A34" s="112"/>
      <c r="B34" s="111" t="s">
        <v>232</v>
      </c>
      <c r="C34" s="112"/>
      <c r="D34" s="112"/>
      <c r="E34" s="114"/>
      <c r="F34" s="117"/>
    </row>
    <row r="35" spans="1:6" ht="15.6" x14ac:dyDescent="0.3">
      <c r="A35" s="112" t="s">
        <v>80</v>
      </c>
      <c r="B35" s="119" t="s">
        <v>233</v>
      </c>
      <c r="C35" s="112"/>
      <c r="D35" s="112"/>
      <c r="E35" s="114"/>
      <c r="F35" s="115"/>
    </row>
    <row r="36" spans="1:6" ht="15.6" x14ac:dyDescent="0.3">
      <c r="A36" s="112"/>
      <c r="B36" s="120" t="s">
        <v>234</v>
      </c>
      <c r="C36" s="112" t="s">
        <v>100</v>
      </c>
      <c r="D36" s="112">
        <v>2</v>
      </c>
      <c r="E36" s="114"/>
      <c r="F36" s="115"/>
    </row>
    <row r="37" spans="1:6" ht="15.6" x14ac:dyDescent="0.3">
      <c r="A37" s="112"/>
      <c r="B37" s="121" t="s">
        <v>235</v>
      </c>
      <c r="C37" s="112"/>
      <c r="D37" s="112"/>
      <c r="E37" s="114"/>
      <c r="F37" s="117"/>
    </row>
    <row r="38" spans="1:6" ht="15.6" x14ac:dyDescent="0.3">
      <c r="A38" s="118" t="s">
        <v>96</v>
      </c>
      <c r="B38" s="111" t="s">
        <v>236</v>
      </c>
      <c r="C38" s="112"/>
      <c r="D38" s="112"/>
      <c r="E38" s="114"/>
      <c r="F38" s="115"/>
    </row>
    <row r="39" spans="1:6" ht="15.6" x14ac:dyDescent="0.3">
      <c r="A39" s="112">
        <v>1</v>
      </c>
      <c r="B39" s="122" t="s">
        <v>237</v>
      </c>
      <c r="C39" s="112" t="s">
        <v>84</v>
      </c>
      <c r="D39" s="112">
        <f>5*2.85</f>
        <v>14.25</v>
      </c>
      <c r="E39" s="114"/>
      <c r="F39" s="115"/>
    </row>
    <row r="40" spans="1:6" ht="15.6" x14ac:dyDescent="0.3">
      <c r="A40" s="112">
        <v>2</v>
      </c>
      <c r="B40" s="120" t="s">
        <v>238</v>
      </c>
      <c r="C40" s="112" t="s">
        <v>23</v>
      </c>
      <c r="D40" s="112">
        <f>3.2*2.65</f>
        <v>8.48</v>
      </c>
      <c r="E40" s="114"/>
      <c r="F40" s="115"/>
    </row>
    <row r="41" spans="1:6" ht="15.6" x14ac:dyDescent="0.3">
      <c r="A41" s="112"/>
      <c r="B41" s="121" t="s">
        <v>239</v>
      </c>
      <c r="C41" s="112"/>
      <c r="D41" s="112"/>
      <c r="E41" s="114"/>
      <c r="F41" s="117"/>
    </row>
    <row r="42" spans="1:6" ht="15.6" x14ac:dyDescent="0.3">
      <c r="A42" s="118" t="s">
        <v>108</v>
      </c>
      <c r="B42" s="111" t="s">
        <v>240</v>
      </c>
      <c r="C42" s="112"/>
      <c r="D42" s="112"/>
      <c r="E42" s="114"/>
      <c r="F42" s="115"/>
    </row>
    <row r="43" spans="1:6" ht="15.6" x14ac:dyDescent="0.3">
      <c r="A43" s="112">
        <v>1</v>
      </c>
      <c r="B43" s="113" t="s">
        <v>241</v>
      </c>
      <c r="C43" s="112" t="s">
        <v>23</v>
      </c>
      <c r="D43" s="112">
        <f>2*0.8*2*2</f>
        <v>6.4</v>
      </c>
      <c r="E43" s="114"/>
      <c r="F43" s="115"/>
    </row>
    <row r="44" spans="1:6" ht="15.6" x14ac:dyDescent="0.3">
      <c r="A44" s="112"/>
      <c r="B44" s="111" t="s">
        <v>242</v>
      </c>
      <c r="C44" s="112"/>
      <c r="D44" s="112"/>
      <c r="E44" s="114"/>
      <c r="F44" s="117">
        <f>SUM(F43)</f>
        <v>0</v>
      </c>
    </row>
    <row r="45" spans="1:6" ht="15.6" x14ac:dyDescent="0.3">
      <c r="A45" s="118" t="s">
        <v>117</v>
      </c>
      <c r="B45" s="119" t="s">
        <v>243</v>
      </c>
      <c r="C45" s="112"/>
      <c r="D45" s="112"/>
      <c r="E45" s="114"/>
      <c r="F45" s="115"/>
    </row>
    <row r="46" spans="1:6" ht="15.6" x14ac:dyDescent="0.3">
      <c r="A46" s="112">
        <v>1</v>
      </c>
      <c r="B46" s="120" t="s">
        <v>244</v>
      </c>
      <c r="C46" s="112"/>
      <c r="D46" s="112">
        <v>2</v>
      </c>
      <c r="E46" s="114"/>
      <c r="F46" s="115"/>
    </row>
    <row r="47" spans="1:6" ht="15.6" x14ac:dyDescent="0.3">
      <c r="A47" s="112">
        <v>2</v>
      </c>
      <c r="B47" s="116" t="s">
        <v>245</v>
      </c>
      <c r="C47" s="112" t="s">
        <v>100</v>
      </c>
      <c r="D47" s="112">
        <v>2</v>
      </c>
      <c r="E47" s="114"/>
      <c r="F47" s="115"/>
    </row>
    <row r="48" spans="1:6" ht="15.6" x14ac:dyDescent="0.3">
      <c r="A48" s="112">
        <v>3</v>
      </c>
      <c r="B48" s="122" t="s">
        <v>246</v>
      </c>
      <c r="C48" s="123" t="s">
        <v>100</v>
      </c>
      <c r="D48" s="123">
        <v>2</v>
      </c>
      <c r="E48" s="124"/>
      <c r="F48" s="115"/>
    </row>
    <row r="49" spans="1:6" ht="15.6" x14ac:dyDescent="0.3">
      <c r="A49" s="112">
        <v>4</v>
      </c>
      <c r="B49" s="120" t="s">
        <v>247</v>
      </c>
      <c r="C49" s="123" t="s">
        <v>100</v>
      </c>
      <c r="D49" s="123">
        <v>2</v>
      </c>
      <c r="E49" s="124"/>
      <c r="F49" s="115"/>
    </row>
    <row r="50" spans="1:6" ht="31.2" x14ac:dyDescent="0.3">
      <c r="A50" s="112">
        <v>5</v>
      </c>
      <c r="B50" s="120" t="s">
        <v>248</v>
      </c>
      <c r="C50" s="123" t="s">
        <v>84</v>
      </c>
      <c r="D50" s="123">
        <f>2.2*2</f>
        <v>4.4000000000000004</v>
      </c>
      <c r="E50" s="124"/>
      <c r="F50" s="115"/>
    </row>
    <row r="51" spans="1:6" ht="15.6" x14ac:dyDescent="0.3">
      <c r="A51" s="112">
        <v>6</v>
      </c>
      <c r="B51" s="125" t="s">
        <v>249</v>
      </c>
      <c r="C51" s="112" t="s">
        <v>100</v>
      </c>
      <c r="D51" s="112">
        <v>2</v>
      </c>
      <c r="E51" s="114"/>
      <c r="F51" s="115"/>
    </row>
    <row r="52" spans="1:6" ht="15.6" x14ac:dyDescent="0.3">
      <c r="A52" s="112"/>
      <c r="B52" s="111" t="s">
        <v>250</v>
      </c>
      <c r="C52" s="112"/>
      <c r="D52" s="112"/>
      <c r="E52" s="114"/>
      <c r="F52" s="117"/>
    </row>
    <row r="53" spans="1:6" ht="15.6" x14ac:dyDescent="0.3">
      <c r="A53" s="118" t="s">
        <v>130</v>
      </c>
      <c r="B53" s="119" t="s">
        <v>251</v>
      </c>
      <c r="C53" s="112"/>
      <c r="D53" s="112"/>
      <c r="E53" s="114"/>
      <c r="F53" s="115"/>
    </row>
    <row r="54" spans="1:6" ht="31.2" x14ac:dyDescent="0.3">
      <c r="A54" s="112">
        <v>1</v>
      </c>
      <c r="B54" s="120" t="s">
        <v>252</v>
      </c>
      <c r="C54" s="112" t="s">
        <v>100</v>
      </c>
      <c r="D54" s="112">
        <v>1</v>
      </c>
      <c r="E54" s="114"/>
      <c r="F54" s="115"/>
    </row>
    <row r="55" spans="1:6" ht="16.2" thickBot="1" x14ac:dyDescent="0.35">
      <c r="A55" s="112"/>
      <c r="B55" s="111" t="s">
        <v>253</v>
      </c>
      <c r="C55" s="112"/>
      <c r="D55" s="112"/>
      <c r="E55" s="114"/>
      <c r="F55" s="117"/>
    </row>
    <row r="56" spans="1:6" ht="16.2" thickBot="1" x14ac:dyDescent="0.35">
      <c r="A56" s="126"/>
      <c r="B56" s="127" t="s">
        <v>254</v>
      </c>
      <c r="C56" s="128"/>
      <c r="D56" s="128"/>
      <c r="E56" s="129"/>
      <c r="F56" s="13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496E7-6D5B-421E-BE59-83E95E272156}">
  <dimension ref="A1:E47"/>
  <sheetViews>
    <sheetView tabSelected="1" workbookViewId="0">
      <selection activeCell="B49" sqref="B49"/>
    </sheetView>
  </sheetViews>
  <sheetFormatPr baseColWidth="10" defaultColWidth="11.44140625" defaultRowHeight="14.4" x14ac:dyDescent="0.3"/>
  <cols>
    <col min="1" max="1" width="7.44140625" style="131" customWidth="1"/>
    <col min="2" max="2" width="59.109375" customWidth="1"/>
    <col min="3" max="3" width="9.109375" style="131" customWidth="1"/>
    <col min="4" max="4" width="18.6640625" style="132" customWidth="1"/>
    <col min="5" max="5" width="38" style="82" customWidth="1"/>
  </cols>
  <sheetData>
    <row r="1" spans="1:5" ht="15.6" x14ac:dyDescent="0.3">
      <c r="A1" s="102"/>
      <c r="B1" s="103" t="s">
        <v>195</v>
      </c>
      <c r="C1" s="102"/>
      <c r="D1" s="105"/>
      <c r="E1" s="105"/>
    </row>
    <row r="2" spans="1:5" x14ac:dyDescent="0.3">
      <c r="A2" s="102"/>
      <c r="B2" s="106"/>
      <c r="C2" s="102"/>
      <c r="D2" s="105"/>
      <c r="E2" s="105"/>
    </row>
    <row r="3" spans="1:5" ht="18" x14ac:dyDescent="0.35">
      <c r="A3" s="107" t="s">
        <v>196</v>
      </c>
      <c r="B3" s="108" t="s">
        <v>197</v>
      </c>
      <c r="C3" s="107" t="s">
        <v>198</v>
      </c>
      <c r="D3" s="27" t="s">
        <v>154</v>
      </c>
      <c r="E3" s="27" t="s">
        <v>155</v>
      </c>
    </row>
    <row r="4" spans="1:5" ht="18" x14ac:dyDescent="0.35">
      <c r="A4" s="107" t="s">
        <v>19</v>
      </c>
      <c r="B4" s="111" t="s">
        <v>202</v>
      </c>
      <c r="C4" s="107"/>
      <c r="D4" s="109"/>
      <c r="E4" s="110"/>
    </row>
    <row r="5" spans="1:5" ht="15.6" x14ac:dyDescent="0.3">
      <c r="A5" s="112">
        <v>1</v>
      </c>
      <c r="B5" s="113" t="s">
        <v>203</v>
      </c>
      <c r="C5" s="112" t="s">
        <v>23</v>
      </c>
      <c r="D5" s="114"/>
      <c r="E5" s="115"/>
    </row>
    <row r="6" spans="1:5" ht="15.6" x14ac:dyDescent="0.3">
      <c r="A6" s="112">
        <v>2</v>
      </c>
      <c r="B6" s="113" t="s">
        <v>204</v>
      </c>
      <c r="C6" s="112" t="s">
        <v>121</v>
      </c>
      <c r="D6" s="114"/>
      <c r="E6" s="115"/>
    </row>
    <row r="7" spans="1:5" ht="15.6" x14ac:dyDescent="0.3">
      <c r="A7" s="112">
        <v>3</v>
      </c>
      <c r="B7" s="116" t="s">
        <v>205</v>
      </c>
      <c r="C7" s="112" t="s">
        <v>26</v>
      </c>
      <c r="D7" s="114"/>
      <c r="E7" s="115"/>
    </row>
    <row r="8" spans="1:5" ht="15.6" x14ac:dyDescent="0.3">
      <c r="A8" s="112">
        <v>4</v>
      </c>
      <c r="B8" s="116" t="s">
        <v>206</v>
      </c>
      <c r="C8" s="112" t="s">
        <v>26</v>
      </c>
      <c r="D8" s="114"/>
      <c r="E8" s="115"/>
    </row>
    <row r="9" spans="1:5" ht="15.6" x14ac:dyDescent="0.3">
      <c r="A9" s="112">
        <v>5</v>
      </c>
      <c r="B9" s="116" t="s">
        <v>207</v>
      </c>
      <c r="C9" s="112" t="s">
        <v>26</v>
      </c>
      <c r="D9" s="114"/>
      <c r="E9" s="115"/>
    </row>
    <row r="10" spans="1:5" ht="15.6" x14ac:dyDescent="0.3">
      <c r="A10" s="118" t="s">
        <v>32</v>
      </c>
      <c r="B10" s="119" t="s">
        <v>209</v>
      </c>
      <c r="C10" s="112"/>
      <c r="D10" s="114"/>
      <c r="E10" s="115"/>
    </row>
    <row r="11" spans="1:5" ht="15.6" x14ac:dyDescent="0.3">
      <c r="A11" s="112">
        <v>1</v>
      </c>
      <c r="B11" s="116" t="s">
        <v>210</v>
      </c>
      <c r="C11" s="112" t="s">
        <v>26</v>
      </c>
      <c r="D11" s="114"/>
      <c r="E11" s="115"/>
    </row>
    <row r="12" spans="1:5" ht="19.2" customHeight="1" x14ac:dyDescent="0.3">
      <c r="A12" s="112">
        <v>2</v>
      </c>
      <c r="B12" s="116" t="s">
        <v>211</v>
      </c>
      <c r="C12" s="112" t="s">
        <v>26</v>
      </c>
      <c r="D12" s="114"/>
      <c r="E12" s="115"/>
    </row>
    <row r="13" spans="1:5" ht="15.6" x14ac:dyDescent="0.3">
      <c r="A13" s="112">
        <v>3</v>
      </c>
      <c r="B13" s="116" t="s">
        <v>212</v>
      </c>
      <c r="C13" s="112" t="s">
        <v>26</v>
      </c>
      <c r="D13" s="114"/>
      <c r="E13" s="115"/>
    </row>
    <row r="14" spans="1:5" ht="15.6" x14ac:dyDescent="0.3">
      <c r="A14" s="112">
        <v>4</v>
      </c>
      <c r="B14" s="116" t="s">
        <v>213</v>
      </c>
      <c r="C14" s="112" t="s">
        <v>26</v>
      </c>
      <c r="D14" s="114"/>
      <c r="E14" s="115"/>
    </row>
    <row r="15" spans="1:5" ht="15.6" x14ac:dyDescent="0.3">
      <c r="A15" s="112">
        <v>5</v>
      </c>
      <c r="B15" s="116" t="s">
        <v>214</v>
      </c>
      <c r="C15" s="112" t="s">
        <v>26</v>
      </c>
      <c r="D15" s="114"/>
      <c r="E15" s="115"/>
    </row>
    <row r="16" spans="1:5" ht="15.6" x14ac:dyDescent="0.3">
      <c r="A16" s="112">
        <v>6</v>
      </c>
      <c r="B16" s="116" t="s">
        <v>215</v>
      </c>
      <c r="C16" s="112" t="s">
        <v>23</v>
      </c>
      <c r="D16" s="114"/>
      <c r="E16" s="115"/>
    </row>
    <row r="17" spans="1:5" ht="15.6" x14ac:dyDescent="0.3">
      <c r="A17" s="112">
        <v>7</v>
      </c>
      <c r="B17" s="116" t="s">
        <v>216</v>
      </c>
      <c r="C17" s="112" t="s">
        <v>26</v>
      </c>
      <c r="D17" s="114"/>
      <c r="E17" s="115"/>
    </row>
    <row r="18" spans="1:5" ht="15.6" x14ac:dyDescent="0.3">
      <c r="A18" s="112">
        <v>8</v>
      </c>
      <c r="B18" s="116" t="s">
        <v>217</v>
      </c>
      <c r="C18" s="112" t="s">
        <v>26</v>
      </c>
      <c r="D18" s="114"/>
      <c r="E18" s="115"/>
    </row>
    <row r="19" spans="1:5" ht="15.6" x14ac:dyDescent="0.3">
      <c r="A19" s="112">
        <v>9</v>
      </c>
      <c r="B19" s="116" t="s">
        <v>218</v>
      </c>
      <c r="C19" s="112" t="s">
        <v>26</v>
      </c>
      <c r="D19" s="114"/>
      <c r="E19" s="115"/>
    </row>
    <row r="20" spans="1:5" ht="18.600000000000001" customHeight="1" x14ac:dyDescent="0.3">
      <c r="A20" s="112">
        <v>10</v>
      </c>
      <c r="B20" s="116" t="s">
        <v>219</v>
      </c>
      <c r="C20" s="112" t="s">
        <v>23</v>
      </c>
      <c r="D20" s="114"/>
      <c r="E20" s="115"/>
    </row>
    <row r="21" spans="1:5" ht="15.6" x14ac:dyDescent="0.3">
      <c r="A21" s="112">
        <v>11</v>
      </c>
      <c r="B21" s="116" t="s">
        <v>220</v>
      </c>
      <c r="C21" s="112" t="s">
        <v>23</v>
      </c>
      <c r="D21" s="114"/>
      <c r="E21" s="115"/>
    </row>
    <row r="22" spans="1:5" ht="15.6" x14ac:dyDescent="0.3">
      <c r="A22" s="112">
        <v>12</v>
      </c>
      <c r="B22" s="116" t="s">
        <v>221</v>
      </c>
      <c r="C22" s="112" t="s">
        <v>26</v>
      </c>
      <c r="D22" s="114"/>
      <c r="E22" s="115"/>
    </row>
    <row r="23" spans="1:5" ht="15.6" x14ac:dyDescent="0.3">
      <c r="A23" s="112">
        <v>13</v>
      </c>
      <c r="B23" s="116" t="s">
        <v>222</v>
      </c>
      <c r="C23" s="112" t="s">
        <v>26</v>
      </c>
      <c r="D23" s="114"/>
      <c r="E23" s="115"/>
    </row>
    <row r="24" spans="1:5" ht="15.6" x14ac:dyDescent="0.3">
      <c r="A24" s="112">
        <v>14</v>
      </c>
      <c r="B24" s="116" t="s">
        <v>223</v>
      </c>
      <c r="C24" s="112" t="s">
        <v>26</v>
      </c>
      <c r="D24" s="114"/>
      <c r="E24" s="115"/>
    </row>
    <row r="25" spans="1:5" ht="15.6" x14ac:dyDescent="0.3">
      <c r="A25" s="112">
        <v>15</v>
      </c>
      <c r="B25" s="116" t="s">
        <v>224</v>
      </c>
      <c r="C25" s="112" t="s">
        <v>26</v>
      </c>
      <c r="D25" s="114"/>
      <c r="E25" s="115"/>
    </row>
    <row r="26" spans="1:5" ht="15.6" x14ac:dyDescent="0.3">
      <c r="A26" s="118" t="s">
        <v>69</v>
      </c>
      <c r="B26" s="111" t="s">
        <v>226</v>
      </c>
      <c r="C26" s="112"/>
      <c r="D26" s="114"/>
      <c r="E26" s="115"/>
    </row>
    <row r="27" spans="1:5" ht="15.6" x14ac:dyDescent="0.3">
      <c r="A27" s="112">
        <v>1</v>
      </c>
      <c r="B27" s="113" t="s">
        <v>227</v>
      </c>
      <c r="C27" s="112" t="s">
        <v>23</v>
      </c>
      <c r="D27" s="114"/>
      <c r="E27" s="115"/>
    </row>
    <row r="28" spans="1:5" ht="15.6" x14ac:dyDescent="0.3">
      <c r="A28" s="112">
        <v>2</v>
      </c>
      <c r="B28" s="116" t="s">
        <v>228</v>
      </c>
      <c r="C28" s="112" t="s">
        <v>23</v>
      </c>
      <c r="D28" s="114"/>
      <c r="E28" s="115"/>
    </row>
    <row r="29" spans="1:5" ht="15.6" x14ac:dyDescent="0.3">
      <c r="A29" s="112">
        <v>3</v>
      </c>
      <c r="B29" s="116" t="s">
        <v>229</v>
      </c>
      <c r="C29" s="112" t="s">
        <v>23</v>
      </c>
      <c r="D29" s="114"/>
      <c r="E29" s="115"/>
    </row>
    <row r="30" spans="1:5" ht="15.6" x14ac:dyDescent="0.3">
      <c r="A30" s="112">
        <v>4</v>
      </c>
      <c r="B30" s="113" t="s">
        <v>230</v>
      </c>
      <c r="C30" s="112" t="s">
        <v>23</v>
      </c>
      <c r="D30" s="114"/>
      <c r="E30" s="115"/>
    </row>
    <row r="31" spans="1:5" ht="15.6" x14ac:dyDescent="0.3">
      <c r="A31" s="112">
        <v>5</v>
      </c>
      <c r="B31" s="113" t="s">
        <v>231</v>
      </c>
      <c r="C31" s="112" t="s">
        <v>23</v>
      </c>
      <c r="D31" s="114"/>
      <c r="E31" s="115"/>
    </row>
    <row r="32" spans="1:5" ht="15.6" x14ac:dyDescent="0.3">
      <c r="A32" s="112" t="s">
        <v>80</v>
      </c>
      <c r="B32" s="119" t="s">
        <v>233</v>
      </c>
      <c r="C32" s="112"/>
      <c r="D32" s="114"/>
      <c r="E32" s="115"/>
    </row>
    <row r="33" spans="1:5" ht="15.6" x14ac:dyDescent="0.3">
      <c r="A33" s="112"/>
      <c r="B33" s="120" t="s">
        <v>234</v>
      </c>
      <c r="C33" s="112" t="s">
        <v>100</v>
      </c>
      <c r="D33" s="114"/>
      <c r="E33" s="115"/>
    </row>
    <row r="34" spans="1:5" ht="15.6" x14ac:dyDescent="0.3">
      <c r="A34" s="118" t="s">
        <v>96</v>
      </c>
      <c r="B34" s="111" t="s">
        <v>236</v>
      </c>
      <c r="C34" s="112"/>
      <c r="D34" s="114"/>
      <c r="E34" s="115"/>
    </row>
    <row r="35" spans="1:5" ht="15.6" x14ac:dyDescent="0.3">
      <c r="A35" s="112">
        <v>1</v>
      </c>
      <c r="B35" s="122" t="s">
        <v>237</v>
      </c>
      <c r="C35" s="112" t="s">
        <v>84</v>
      </c>
      <c r="D35" s="114"/>
      <c r="E35" s="115"/>
    </row>
    <row r="36" spans="1:5" ht="15.6" x14ac:dyDescent="0.3">
      <c r="A36" s="112">
        <v>2</v>
      </c>
      <c r="B36" s="120" t="s">
        <v>238</v>
      </c>
      <c r="C36" s="112" t="s">
        <v>23</v>
      </c>
      <c r="D36" s="114"/>
      <c r="E36" s="115"/>
    </row>
    <row r="37" spans="1:5" ht="15.6" x14ac:dyDescent="0.3">
      <c r="A37" s="118" t="s">
        <v>108</v>
      </c>
      <c r="B37" s="111" t="s">
        <v>240</v>
      </c>
      <c r="C37" s="112"/>
      <c r="D37" s="114"/>
      <c r="E37" s="115"/>
    </row>
    <row r="38" spans="1:5" ht="15.6" x14ac:dyDescent="0.3">
      <c r="A38" s="112">
        <v>1</v>
      </c>
      <c r="B38" s="113" t="s">
        <v>241</v>
      </c>
      <c r="C38" s="112" t="s">
        <v>23</v>
      </c>
      <c r="D38" s="114"/>
      <c r="E38" s="115"/>
    </row>
    <row r="39" spans="1:5" ht="15.6" x14ac:dyDescent="0.3">
      <c r="A39" s="118" t="s">
        <v>117</v>
      </c>
      <c r="B39" s="119" t="s">
        <v>243</v>
      </c>
      <c r="C39" s="112"/>
      <c r="D39" s="114"/>
      <c r="E39" s="115"/>
    </row>
    <row r="40" spans="1:5" ht="15.6" x14ac:dyDescent="0.3">
      <c r="A40" s="112">
        <v>1</v>
      </c>
      <c r="B40" s="120" t="s">
        <v>244</v>
      </c>
      <c r="C40" s="112"/>
      <c r="D40" s="114"/>
      <c r="E40" s="115"/>
    </row>
    <row r="41" spans="1:5" ht="15.6" x14ac:dyDescent="0.3">
      <c r="A41" s="112">
        <v>2</v>
      </c>
      <c r="B41" s="116" t="s">
        <v>245</v>
      </c>
      <c r="C41" s="112" t="s">
        <v>100</v>
      </c>
      <c r="D41" s="114"/>
      <c r="E41" s="115"/>
    </row>
    <row r="42" spans="1:5" ht="15.6" x14ac:dyDescent="0.3">
      <c r="A42" s="112">
        <v>3</v>
      </c>
      <c r="B42" s="122" t="s">
        <v>246</v>
      </c>
      <c r="C42" s="123" t="s">
        <v>100</v>
      </c>
      <c r="D42" s="124"/>
      <c r="E42" s="115"/>
    </row>
    <row r="43" spans="1:5" ht="15.6" x14ac:dyDescent="0.3">
      <c r="A43" s="112">
        <v>4</v>
      </c>
      <c r="B43" s="120" t="s">
        <v>247</v>
      </c>
      <c r="C43" s="123" t="s">
        <v>100</v>
      </c>
      <c r="D43" s="124"/>
      <c r="E43" s="115"/>
    </row>
    <row r="44" spans="1:5" ht="15.6" x14ac:dyDescent="0.3">
      <c r="A44" s="112">
        <v>5</v>
      </c>
      <c r="B44" s="120" t="s">
        <v>248</v>
      </c>
      <c r="C44" s="123" t="s">
        <v>84</v>
      </c>
      <c r="D44" s="124"/>
      <c r="E44" s="115"/>
    </row>
    <row r="45" spans="1:5" ht="15.6" x14ac:dyDescent="0.3">
      <c r="A45" s="112">
        <v>6</v>
      </c>
      <c r="B45" s="125" t="s">
        <v>249</v>
      </c>
      <c r="C45" s="112" t="s">
        <v>100</v>
      </c>
      <c r="D45" s="114"/>
      <c r="E45" s="115"/>
    </row>
    <row r="46" spans="1:5" ht="15.6" x14ac:dyDescent="0.3">
      <c r="A46" s="118" t="s">
        <v>130</v>
      </c>
      <c r="B46" s="119" t="s">
        <v>251</v>
      </c>
      <c r="C46" s="112"/>
      <c r="D46" s="114"/>
      <c r="E46" s="115"/>
    </row>
    <row r="47" spans="1:5" ht="31.2" x14ac:dyDescent="0.3">
      <c r="A47" s="123">
        <v>1</v>
      </c>
      <c r="B47" s="120" t="s">
        <v>252</v>
      </c>
      <c r="C47" s="123" t="s">
        <v>100</v>
      </c>
      <c r="D47" s="124"/>
      <c r="E47" s="13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4518C-2AAB-48EC-B242-9BA4CC5CCA63}">
  <sheetPr>
    <pageSetUpPr fitToPage="1"/>
  </sheetPr>
  <dimension ref="A1:G11"/>
  <sheetViews>
    <sheetView view="pageBreakPreview" zoomScale="140" zoomScaleNormal="100" zoomScaleSheetLayoutView="140" workbookViewId="0">
      <selection activeCell="B3" sqref="B3:B7"/>
    </sheetView>
  </sheetViews>
  <sheetFormatPr baseColWidth="10" defaultColWidth="11.44140625" defaultRowHeight="13.8" x14ac:dyDescent="0.25"/>
  <cols>
    <col min="1" max="1" width="6.109375" style="83" customWidth="1"/>
    <col min="2" max="2" width="56" style="83" customWidth="1"/>
    <col min="3" max="3" width="13.44140625" style="83" customWidth="1"/>
    <col min="4" max="4" width="17" style="83" customWidth="1"/>
    <col min="5" max="5" width="19.109375" style="83" customWidth="1"/>
    <col min="6" max="16384" width="11.44140625" style="83"/>
  </cols>
  <sheetData>
    <row r="1" spans="1:7" ht="46.95" customHeight="1" thickBot="1" x14ac:dyDescent="0.3">
      <c r="A1" s="134" t="s">
        <v>0</v>
      </c>
      <c r="B1" s="135"/>
      <c r="C1" s="135"/>
      <c r="D1" s="135"/>
      <c r="E1" s="136"/>
      <c r="F1" s="101"/>
    </row>
    <row r="2" spans="1:7" s="97" customFormat="1" ht="22.5" customHeight="1" x14ac:dyDescent="0.3">
      <c r="A2" s="100" t="s">
        <v>1</v>
      </c>
      <c r="B2" s="100" t="s">
        <v>2</v>
      </c>
      <c r="C2" s="100" t="s">
        <v>3</v>
      </c>
      <c r="D2" s="99" t="s">
        <v>4</v>
      </c>
      <c r="E2" s="98" t="s">
        <v>5</v>
      </c>
    </row>
    <row r="3" spans="1:7" s="84" customFormat="1" ht="15.6" x14ac:dyDescent="0.3">
      <c r="A3" s="94">
        <v>1</v>
      </c>
      <c r="B3" s="96" t="s">
        <v>6</v>
      </c>
      <c r="C3" s="92">
        <v>1</v>
      </c>
      <c r="D3" s="95"/>
      <c r="E3" s="90"/>
    </row>
    <row r="4" spans="1:7" s="84" customFormat="1" ht="15.6" x14ac:dyDescent="0.3">
      <c r="A4" s="94">
        <f>A3+1</f>
        <v>2</v>
      </c>
      <c r="B4" s="96" t="s">
        <v>7</v>
      </c>
      <c r="C4" s="92">
        <v>1</v>
      </c>
      <c r="D4" s="95"/>
      <c r="E4" s="90"/>
    </row>
    <row r="5" spans="1:7" s="89" customFormat="1" ht="15.6" x14ac:dyDescent="0.3">
      <c r="A5" s="94">
        <f t="shared" ref="A5:A7" si="0">A4+1</f>
        <v>3</v>
      </c>
      <c r="B5" s="93" t="s">
        <v>8</v>
      </c>
      <c r="C5" s="92">
        <v>1</v>
      </c>
      <c r="D5" s="91"/>
      <c r="E5" s="90"/>
    </row>
    <row r="6" spans="1:7" s="89" customFormat="1" ht="15.6" x14ac:dyDescent="0.3">
      <c r="A6" s="94">
        <f t="shared" si="0"/>
        <v>4</v>
      </c>
      <c r="B6" s="93" t="s">
        <v>9</v>
      </c>
      <c r="C6" s="92">
        <v>1</v>
      </c>
      <c r="D6" s="91"/>
      <c r="E6" s="90"/>
    </row>
    <row r="7" spans="1:7" s="89" customFormat="1" ht="15.6" x14ac:dyDescent="0.3">
      <c r="A7" s="94">
        <f t="shared" si="0"/>
        <v>5</v>
      </c>
      <c r="B7" s="93" t="s">
        <v>10</v>
      </c>
      <c r="C7" s="92">
        <v>1</v>
      </c>
      <c r="D7" s="91"/>
      <c r="E7" s="90"/>
    </row>
    <row r="8" spans="1:7" s="85" customFormat="1" ht="15.6" x14ac:dyDescent="0.3">
      <c r="A8" s="137" t="s">
        <v>11</v>
      </c>
      <c r="B8" s="137"/>
      <c r="C8" s="137"/>
      <c r="D8" s="137"/>
      <c r="E8" s="86"/>
      <c r="G8" s="88"/>
    </row>
    <row r="9" spans="1:7" s="84" customFormat="1" ht="15.6" x14ac:dyDescent="0.25">
      <c r="A9" s="137" t="s">
        <v>12</v>
      </c>
      <c r="B9" s="137"/>
      <c r="C9" s="137"/>
      <c r="D9" s="137"/>
      <c r="E9" s="87"/>
    </row>
    <row r="10" spans="1:7" s="85" customFormat="1" ht="15" customHeight="1" x14ac:dyDescent="0.3">
      <c r="A10" s="137"/>
      <c r="B10" s="137"/>
      <c r="C10" s="137"/>
      <c r="D10" s="137"/>
      <c r="E10" s="86"/>
    </row>
    <row r="11" spans="1:7" s="84" customFormat="1" ht="15.6" x14ac:dyDescent="0.25">
      <c r="A11" s="138"/>
      <c r="B11" s="139"/>
      <c r="C11" s="139"/>
      <c r="D11" s="139"/>
      <c r="E11" s="140"/>
    </row>
  </sheetData>
  <mergeCells count="5">
    <mergeCell ref="A1:E1"/>
    <mergeCell ref="A8:D8"/>
    <mergeCell ref="A9:D9"/>
    <mergeCell ref="A10:D10"/>
    <mergeCell ref="A11:E11"/>
  </mergeCells>
  <pageMargins left="0.7" right="0.7" top="0.75" bottom="0.75" header="0.3" footer="0.3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D7722-6FC9-42AF-880D-8E2F8DBF98FD}">
  <dimension ref="A1:J73"/>
  <sheetViews>
    <sheetView topLeftCell="A19" zoomScale="150" zoomScaleNormal="150" workbookViewId="0">
      <selection activeCell="G76" sqref="G76"/>
    </sheetView>
  </sheetViews>
  <sheetFormatPr baseColWidth="10" defaultColWidth="11.44140625" defaultRowHeight="14.4" x14ac:dyDescent="0.3"/>
  <cols>
    <col min="1" max="1" width="5.5546875" customWidth="1"/>
    <col min="2" max="2" width="43.88671875" customWidth="1"/>
    <col min="3" max="3" width="7.109375" customWidth="1"/>
    <col min="4" max="4" width="9.6640625" customWidth="1"/>
    <col min="5" max="5" width="10.109375" style="1" customWidth="1"/>
  </cols>
  <sheetData>
    <row r="1" spans="1:6" ht="15" thickBot="1" x14ac:dyDescent="0.35"/>
    <row r="2" spans="1:6" ht="26.4" customHeight="1" thickBot="1" x14ac:dyDescent="0.35">
      <c r="A2" s="141" t="s">
        <v>13</v>
      </c>
      <c r="B2" s="142"/>
      <c r="C2" s="142"/>
      <c r="D2" s="142"/>
      <c r="E2" s="142"/>
      <c r="F2" s="143"/>
    </row>
    <row r="3" spans="1:6" x14ac:dyDescent="0.3">
      <c r="A3" s="2"/>
      <c r="B3" s="3"/>
      <c r="C3" s="3"/>
      <c r="D3" s="3"/>
      <c r="E3" s="4"/>
      <c r="F3" s="3"/>
    </row>
    <row r="4" spans="1:6" x14ac:dyDescent="0.3">
      <c r="A4" s="5" t="s">
        <v>1</v>
      </c>
      <c r="B4" s="6" t="s">
        <v>14</v>
      </c>
      <c r="C4" s="7" t="s">
        <v>15</v>
      </c>
      <c r="D4" s="7" t="s">
        <v>16</v>
      </c>
      <c r="E4" s="8" t="s">
        <v>17</v>
      </c>
      <c r="F4" s="7" t="s">
        <v>18</v>
      </c>
    </row>
    <row r="5" spans="1:6" x14ac:dyDescent="0.3">
      <c r="A5" s="9" t="s">
        <v>19</v>
      </c>
      <c r="B5" s="10" t="s">
        <v>20</v>
      </c>
      <c r="C5" s="11"/>
      <c r="D5" s="12"/>
      <c r="E5" s="13"/>
      <c r="F5" s="12"/>
    </row>
    <row r="6" spans="1:6" x14ac:dyDescent="0.3">
      <c r="A6" s="14" t="s">
        <v>21</v>
      </c>
      <c r="B6" s="12" t="s">
        <v>22</v>
      </c>
      <c r="C6" s="11" t="s">
        <v>23</v>
      </c>
      <c r="D6" s="15">
        <f>14.3*9.8</f>
        <v>140.14000000000001</v>
      </c>
      <c r="E6" s="13"/>
      <c r="F6" s="16"/>
    </row>
    <row r="7" spans="1:6" x14ac:dyDescent="0.3">
      <c r="A7" s="14" t="s">
        <v>24</v>
      </c>
      <c r="B7" s="12" t="s">
        <v>25</v>
      </c>
      <c r="C7" s="11" t="s">
        <v>26</v>
      </c>
      <c r="D7" s="15">
        <f>44.2*0.5*0.85</f>
        <v>18.785</v>
      </c>
      <c r="E7" s="13"/>
      <c r="F7" s="16"/>
    </row>
    <row r="8" spans="1:6" x14ac:dyDescent="0.3">
      <c r="A8" s="14" t="s">
        <v>27</v>
      </c>
      <c r="B8" s="12" t="s">
        <v>28</v>
      </c>
      <c r="C8" s="11" t="s">
        <v>26</v>
      </c>
      <c r="D8" s="15">
        <f>0.3*0.55*44.2</f>
        <v>7.293000000000001</v>
      </c>
      <c r="E8" s="13"/>
      <c r="F8" s="16"/>
    </row>
    <row r="9" spans="1:6" x14ac:dyDescent="0.3">
      <c r="A9" s="14" t="s">
        <v>29</v>
      </c>
      <c r="B9" s="12" t="s">
        <v>30</v>
      </c>
      <c r="C9" s="11" t="s">
        <v>26</v>
      </c>
      <c r="D9" s="15">
        <f>(53.96+7.2)*0.2</f>
        <v>12.232000000000001</v>
      </c>
      <c r="E9" s="13"/>
      <c r="F9" s="16"/>
    </row>
    <row r="10" spans="1:6" x14ac:dyDescent="0.3">
      <c r="A10" s="14"/>
      <c r="B10" s="10" t="s">
        <v>31</v>
      </c>
      <c r="C10" s="11"/>
      <c r="D10" s="12"/>
      <c r="E10" s="13"/>
      <c r="F10" s="17"/>
    </row>
    <row r="11" spans="1:6" x14ac:dyDescent="0.3">
      <c r="A11" s="9" t="s">
        <v>32</v>
      </c>
      <c r="B11" s="10" t="s">
        <v>33</v>
      </c>
      <c r="C11" s="11"/>
      <c r="D11" s="12"/>
      <c r="E11" s="13"/>
      <c r="F11" s="16"/>
    </row>
    <row r="12" spans="1:6" ht="27.6" x14ac:dyDescent="0.3">
      <c r="A12" s="14" t="s">
        <v>34</v>
      </c>
      <c r="B12" s="18" t="s">
        <v>35</v>
      </c>
      <c r="C12" s="11" t="s">
        <v>26</v>
      </c>
      <c r="D12" s="15">
        <f>44.2*0.05*0.5</f>
        <v>1.1050000000000002</v>
      </c>
      <c r="E12" s="13"/>
      <c r="F12" s="16"/>
    </row>
    <row r="13" spans="1:6" x14ac:dyDescent="0.3">
      <c r="A13" s="14" t="s">
        <v>36</v>
      </c>
      <c r="B13" s="12" t="s">
        <v>37</v>
      </c>
      <c r="C13" s="11" t="s">
        <v>26</v>
      </c>
      <c r="D13" s="15">
        <f>44.2*0.2*0.5</f>
        <v>4.4200000000000008</v>
      </c>
      <c r="E13" s="13"/>
      <c r="F13" s="16"/>
    </row>
    <row r="14" spans="1:6" ht="15" customHeight="1" x14ac:dyDescent="0.3">
      <c r="A14" s="14" t="s">
        <v>38</v>
      </c>
      <c r="B14" s="18" t="s">
        <v>39</v>
      </c>
      <c r="C14" s="11" t="s">
        <v>26</v>
      </c>
      <c r="D14" s="15">
        <f>12*0.2*0.2*0.9</f>
        <v>0.43200000000000011</v>
      </c>
      <c r="E14" s="13"/>
      <c r="F14" s="16"/>
    </row>
    <row r="15" spans="1:6" x14ac:dyDescent="0.3">
      <c r="A15" s="14" t="s">
        <v>40</v>
      </c>
      <c r="B15" s="12" t="s">
        <v>41</v>
      </c>
      <c r="C15" s="11" t="s">
        <v>26</v>
      </c>
      <c r="D15" s="15">
        <f>44.2*0.2*0.2</f>
        <v>1.7680000000000005</v>
      </c>
      <c r="E15" s="13"/>
      <c r="F15" s="16"/>
    </row>
    <row r="16" spans="1:6" ht="15.75" customHeight="1" x14ac:dyDescent="0.3">
      <c r="A16" s="14" t="s">
        <v>42</v>
      </c>
      <c r="B16" s="18" t="s">
        <v>43</v>
      </c>
      <c r="C16" s="11" t="s">
        <v>26</v>
      </c>
      <c r="D16" s="15">
        <f>(53.96+7.2)*0.1</f>
        <v>6.1160000000000005</v>
      </c>
      <c r="E16" s="13"/>
      <c r="F16" s="16"/>
    </row>
    <row r="17" spans="1:6" ht="27.6" x14ac:dyDescent="0.3">
      <c r="A17" s="14" t="s">
        <v>44</v>
      </c>
      <c r="B17" s="18" t="s">
        <v>45</v>
      </c>
      <c r="C17" s="11" t="s">
        <v>26</v>
      </c>
      <c r="D17" s="15">
        <f>10*0.15*0.15*4.3</f>
        <v>0.96749999999999992</v>
      </c>
      <c r="E17" s="13"/>
      <c r="F17" s="16"/>
    </row>
    <row r="18" spans="1:6" x14ac:dyDescent="0.3">
      <c r="A18" s="14" t="s">
        <v>46</v>
      </c>
      <c r="B18" s="12" t="s">
        <v>47</v>
      </c>
      <c r="C18" s="11" t="s">
        <v>26</v>
      </c>
      <c r="D18" s="15">
        <f>12.3*0.15*0.1</f>
        <v>0.1845</v>
      </c>
      <c r="E18" s="13"/>
      <c r="F18" s="16"/>
    </row>
    <row r="19" spans="1:6" x14ac:dyDescent="0.3">
      <c r="A19" s="14" t="s">
        <v>48</v>
      </c>
      <c r="B19" s="12" t="s">
        <v>49</v>
      </c>
      <c r="C19" s="11" t="s">
        <v>26</v>
      </c>
      <c r="D19" s="15">
        <f>36.6*0.15*0.2</f>
        <v>1.0980000000000001</v>
      </c>
      <c r="E19" s="13"/>
      <c r="F19" s="16"/>
    </row>
    <row r="20" spans="1:6" ht="27.6" x14ac:dyDescent="0.3">
      <c r="A20" s="14" t="s">
        <v>50</v>
      </c>
      <c r="B20" s="18" t="s">
        <v>51</v>
      </c>
      <c r="C20" s="11" t="s">
        <v>26</v>
      </c>
      <c r="D20" s="15">
        <f>0.6*12.3*0.15</f>
        <v>1.107</v>
      </c>
      <c r="E20" s="13"/>
      <c r="F20" s="16"/>
    </row>
    <row r="21" spans="1:6" x14ac:dyDescent="0.3">
      <c r="A21" s="14" t="s">
        <v>52</v>
      </c>
      <c r="B21" s="12" t="s">
        <v>53</v>
      </c>
      <c r="C21" s="11" t="s">
        <v>26</v>
      </c>
      <c r="D21" s="15">
        <f>(5.4*2+0.6*3+12.3*2)*0.2*0.15</f>
        <v>1.1160000000000001</v>
      </c>
      <c r="E21" s="13"/>
      <c r="F21" s="16"/>
    </row>
    <row r="22" spans="1:6" ht="27.6" x14ac:dyDescent="0.3">
      <c r="A22" s="14" t="s">
        <v>54</v>
      </c>
      <c r="B22" s="18" t="s">
        <v>55</v>
      </c>
      <c r="C22" s="11" t="s">
        <v>26</v>
      </c>
      <c r="D22" s="15">
        <f>12.3*0.15*0.2*2</f>
        <v>0.73799999999999999</v>
      </c>
      <c r="E22" s="13"/>
      <c r="F22" s="16"/>
    </row>
    <row r="23" spans="1:6" x14ac:dyDescent="0.3">
      <c r="A23" s="14" t="s">
        <v>56</v>
      </c>
      <c r="B23" s="18" t="s">
        <v>57</v>
      </c>
      <c r="C23" s="11" t="s">
        <v>26</v>
      </c>
      <c r="D23" s="15">
        <f>D21</f>
        <v>1.1160000000000001</v>
      </c>
      <c r="E23" s="13"/>
      <c r="F23" s="16"/>
    </row>
    <row r="24" spans="1:6" x14ac:dyDescent="0.3">
      <c r="A24" s="14" t="s">
        <v>58</v>
      </c>
      <c r="B24" s="12" t="s">
        <v>59</v>
      </c>
      <c r="C24" s="11" t="s">
        <v>26</v>
      </c>
      <c r="D24" s="15">
        <f>(0.6*0.1*4)+(0.15*0.3*4)</f>
        <v>0.42</v>
      </c>
      <c r="E24" s="13"/>
      <c r="F24" s="16"/>
    </row>
    <row r="25" spans="1:6" x14ac:dyDescent="0.3">
      <c r="A25" s="14" t="s">
        <v>60</v>
      </c>
      <c r="B25" s="12" t="s">
        <v>61</v>
      </c>
      <c r="C25" s="11" t="s">
        <v>26</v>
      </c>
      <c r="D25" s="15">
        <f>0.5*3.5*1</f>
        <v>1.75</v>
      </c>
      <c r="E25" s="13"/>
      <c r="F25" s="16"/>
    </row>
    <row r="26" spans="1:6" ht="15" customHeight="1" x14ac:dyDescent="0.3">
      <c r="A26" s="14" t="s">
        <v>62</v>
      </c>
      <c r="B26" s="18" t="s">
        <v>63</v>
      </c>
      <c r="C26" s="11" t="s">
        <v>23</v>
      </c>
      <c r="D26" s="15">
        <f>44.2*0.7</f>
        <v>30.94</v>
      </c>
      <c r="E26" s="13"/>
      <c r="F26" s="16"/>
    </row>
    <row r="27" spans="1:6" x14ac:dyDescent="0.3">
      <c r="A27" s="14" t="s">
        <v>64</v>
      </c>
      <c r="B27" s="12" t="s">
        <v>65</v>
      </c>
      <c r="C27" s="11" t="s">
        <v>23</v>
      </c>
      <c r="D27" s="15">
        <f>36.6*4.3</f>
        <v>157.38</v>
      </c>
      <c r="E27" s="13"/>
      <c r="F27" s="16"/>
    </row>
    <row r="28" spans="1:6" ht="27.6" x14ac:dyDescent="0.3">
      <c r="A28" s="14" t="s">
        <v>66</v>
      </c>
      <c r="B28" s="18" t="s">
        <v>67</v>
      </c>
      <c r="C28" s="11" t="s">
        <v>26</v>
      </c>
      <c r="D28" s="15">
        <f>(5.4*2*0.4)+(12.3*0.6*0.4)</f>
        <v>7.2720000000000002</v>
      </c>
      <c r="E28" s="13"/>
      <c r="F28" s="16"/>
    </row>
    <row r="29" spans="1:6" x14ac:dyDescent="0.3">
      <c r="A29" s="19"/>
      <c r="B29" s="10" t="s">
        <v>68</v>
      </c>
      <c r="C29" s="11"/>
      <c r="D29" s="12"/>
      <c r="E29" s="13"/>
      <c r="F29" s="17"/>
    </row>
    <row r="30" spans="1:6" x14ac:dyDescent="0.3">
      <c r="A30" s="20" t="s">
        <v>69</v>
      </c>
      <c r="B30" s="10" t="s">
        <v>70</v>
      </c>
      <c r="C30" s="11"/>
      <c r="D30" s="12"/>
      <c r="E30" s="13"/>
      <c r="F30" s="16"/>
    </row>
    <row r="31" spans="1:6" x14ac:dyDescent="0.3">
      <c r="A31" s="14" t="s">
        <v>71</v>
      </c>
      <c r="B31" s="12" t="s">
        <v>72</v>
      </c>
      <c r="C31" s="11" t="s">
        <v>23</v>
      </c>
      <c r="D31" s="15">
        <f>((12.3*2+5.4*2+0.6*6)*4.85)-(1.2*1.5*4+1.5*2.5)</f>
        <v>178.20000000000005</v>
      </c>
      <c r="E31" s="13"/>
      <c r="F31" s="16"/>
    </row>
    <row r="32" spans="1:6" x14ac:dyDescent="0.3">
      <c r="A32" s="14" t="s">
        <v>73</v>
      </c>
      <c r="B32" s="12" t="s">
        <v>74</v>
      </c>
      <c r="C32" s="11" t="s">
        <v>23</v>
      </c>
      <c r="D32" s="15">
        <f>D31</f>
        <v>178.20000000000005</v>
      </c>
      <c r="E32" s="13"/>
      <c r="F32" s="16"/>
    </row>
    <row r="33" spans="1:10" ht="27.6" x14ac:dyDescent="0.3">
      <c r="A33" s="14" t="s">
        <v>75</v>
      </c>
      <c r="B33" s="18" t="s">
        <v>76</v>
      </c>
      <c r="C33" s="11" t="s">
        <v>23</v>
      </c>
      <c r="D33" s="15">
        <f>((12*2+4.5*2)*3.2)-(1.2*1.5*4+1.5*2.5)</f>
        <v>94.65</v>
      </c>
      <c r="E33" s="13"/>
      <c r="F33" s="16"/>
    </row>
    <row r="34" spans="1:10" x14ac:dyDescent="0.3">
      <c r="A34" s="14" t="s">
        <v>77</v>
      </c>
      <c r="B34" s="12" t="s">
        <v>78</v>
      </c>
      <c r="C34" s="11" t="s">
        <v>23</v>
      </c>
      <c r="D34" s="15">
        <f>(53.96+7.2+3.6)</f>
        <v>64.760000000000005</v>
      </c>
      <c r="E34" s="13"/>
      <c r="F34" s="16"/>
    </row>
    <row r="35" spans="1:10" x14ac:dyDescent="0.3">
      <c r="A35" s="14"/>
      <c r="B35" s="10" t="s">
        <v>79</v>
      </c>
      <c r="C35" s="11"/>
      <c r="D35" s="15"/>
      <c r="E35" s="13"/>
      <c r="F35" s="17"/>
    </row>
    <row r="36" spans="1:10" x14ac:dyDescent="0.3">
      <c r="A36" s="20" t="s">
        <v>80</v>
      </c>
      <c r="B36" s="10" t="s">
        <v>81</v>
      </c>
      <c r="C36" s="11"/>
      <c r="D36" s="12"/>
      <c r="E36" s="13"/>
      <c r="F36" s="16"/>
    </row>
    <row r="37" spans="1:10" x14ac:dyDescent="0.3">
      <c r="A37" s="19" t="s">
        <v>82</v>
      </c>
      <c r="B37" s="18" t="s">
        <v>83</v>
      </c>
      <c r="C37" s="11" t="s">
        <v>84</v>
      </c>
      <c r="D37" s="12">
        <f>4.75*3</f>
        <v>14.25</v>
      </c>
      <c r="E37" s="13"/>
      <c r="F37" s="16"/>
    </row>
    <row r="38" spans="1:10" x14ac:dyDescent="0.3">
      <c r="A38" s="19" t="s">
        <v>85</v>
      </c>
      <c r="B38" s="18" t="s">
        <v>86</v>
      </c>
      <c r="C38" s="11" t="s">
        <v>84</v>
      </c>
      <c r="D38" s="12">
        <f>7*12.3</f>
        <v>86.100000000000009</v>
      </c>
      <c r="E38" s="13"/>
      <c r="F38" s="16"/>
    </row>
    <row r="39" spans="1:10" x14ac:dyDescent="0.3">
      <c r="A39" s="19" t="s">
        <v>87</v>
      </c>
      <c r="B39" s="18" t="s">
        <v>88</v>
      </c>
      <c r="C39" s="11" t="s">
        <v>84</v>
      </c>
      <c r="D39" s="12">
        <f>D38</f>
        <v>86.100000000000009</v>
      </c>
      <c r="E39" s="13"/>
      <c r="F39" s="16"/>
    </row>
    <row r="40" spans="1:10" ht="27.6" x14ac:dyDescent="0.3">
      <c r="A40" s="19" t="s">
        <v>89</v>
      </c>
      <c r="B40" s="18" t="s">
        <v>90</v>
      </c>
      <c r="C40" s="11" t="s">
        <v>23</v>
      </c>
      <c r="D40" s="12">
        <f>5.65*12.3</f>
        <v>69.495000000000005</v>
      </c>
      <c r="E40" s="13"/>
      <c r="F40" s="16"/>
    </row>
    <row r="41" spans="1:10" x14ac:dyDescent="0.3">
      <c r="A41" s="19" t="s">
        <v>91</v>
      </c>
      <c r="B41" s="12" t="s">
        <v>92</v>
      </c>
      <c r="C41" s="11" t="s">
        <v>23</v>
      </c>
      <c r="D41" s="15">
        <f>(12.3+10.8)*0.5</f>
        <v>11.55</v>
      </c>
      <c r="E41" s="13"/>
      <c r="F41" s="16"/>
      <c r="J41" s="21"/>
    </row>
    <row r="42" spans="1:10" ht="41.4" x14ac:dyDescent="0.3">
      <c r="A42" s="19" t="s">
        <v>93</v>
      </c>
      <c r="B42" s="18" t="s">
        <v>94</v>
      </c>
      <c r="C42" s="11" t="s">
        <v>23</v>
      </c>
      <c r="D42" s="15">
        <f>53.9</f>
        <v>53.9</v>
      </c>
      <c r="E42" s="13"/>
      <c r="F42" s="16"/>
    </row>
    <row r="43" spans="1:10" x14ac:dyDescent="0.3">
      <c r="A43" s="19"/>
      <c r="B43" s="10" t="s">
        <v>95</v>
      </c>
      <c r="C43" s="11"/>
      <c r="D43" s="12"/>
      <c r="E43" s="13"/>
      <c r="F43" s="17"/>
    </row>
    <row r="44" spans="1:10" x14ac:dyDescent="0.3">
      <c r="A44" s="20" t="s">
        <v>96</v>
      </c>
      <c r="B44" s="10" t="s">
        <v>97</v>
      </c>
      <c r="C44" s="11"/>
      <c r="D44" s="12"/>
      <c r="E44" s="13"/>
      <c r="F44" s="16"/>
    </row>
    <row r="45" spans="1:10" ht="41.4" x14ac:dyDescent="0.3">
      <c r="A45" s="14" t="s">
        <v>98</v>
      </c>
      <c r="B45" s="18" t="s">
        <v>99</v>
      </c>
      <c r="C45" s="11" t="s">
        <v>100</v>
      </c>
      <c r="D45" s="15">
        <v>1</v>
      </c>
      <c r="E45" s="13"/>
      <c r="F45" s="16"/>
    </row>
    <row r="46" spans="1:10" ht="41.4" x14ac:dyDescent="0.3">
      <c r="A46" s="14" t="s">
        <v>101</v>
      </c>
      <c r="B46" s="18" t="s">
        <v>102</v>
      </c>
      <c r="C46" s="22" t="s">
        <v>100</v>
      </c>
      <c r="D46" s="15">
        <v>4</v>
      </c>
      <c r="E46" s="13"/>
      <c r="F46" s="16"/>
    </row>
    <row r="47" spans="1:10" ht="27.6" x14ac:dyDescent="0.3">
      <c r="A47" s="14" t="s">
        <v>103</v>
      </c>
      <c r="B47" s="18" t="s">
        <v>104</v>
      </c>
      <c r="C47" s="22" t="s">
        <v>100</v>
      </c>
      <c r="D47" s="15">
        <v>4</v>
      </c>
      <c r="E47" s="13"/>
      <c r="F47" s="16"/>
    </row>
    <row r="48" spans="1:10" ht="27.6" x14ac:dyDescent="0.3">
      <c r="A48" s="14" t="s">
        <v>105</v>
      </c>
      <c r="B48" s="18" t="s">
        <v>106</v>
      </c>
      <c r="C48" s="22" t="s">
        <v>100</v>
      </c>
      <c r="D48" s="15">
        <v>8</v>
      </c>
      <c r="E48" s="13"/>
      <c r="F48" s="16"/>
    </row>
    <row r="49" spans="1:6" x14ac:dyDescent="0.3">
      <c r="A49" s="19"/>
      <c r="B49" s="10" t="s">
        <v>107</v>
      </c>
      <c r="C49" s="12"/>
      <c r="D49" s="12"/>
      <c r="E49" s="13"/>
      <c r="F49" s="17"/>
    </row>
    <row r="50" spans="1:6" x14ac:dyDescent="0.3">
      <c r="A50" s="20" t="s">
        <v>108</v>
      </c>
      <c r="B50" s="10" t="s">
        <v>109</v>
      </c>
      <c r="C50" s="12"/>
      <c r="D50" s="12"/>
      <c r="E50" s="13"/>
      <c r="F50" s="16"/>
    </row>
    <row r="51" spans="1:6" x14ac:dyDescent="0.3">
      <c r="A51" s="23" t="s">
        <v>110</v>
      </c>
      <c r="B51" s="12" t="s">
        <v>111</v>
      </c>
      <c r="C51" s="24" t="s">
        <v>23</v>
      </c>
      <c r="D51" s="15">
        <f>D33</f>
        <v>94.65</v>
      </c>
      <c r="E51" s="13"/>
      <c r="F51" s="16"/>
    </row>
    <row r="52" spans="1:6" x14ac:dyDescent="0.3">
      <c r="A52" s="23" t="s">
        <v>112</v>
      </c>
      <c r="B52" s="12" t="s">
        <v>113</v>
      </c>
      <c r="C52" s="24" t="s">
        <v>23</v>
      </c>
      <c r="D52" s="15">
        <f>D42</f>
        <v>53.9</v>
      </c>
      <c r="E52" s="13"/>
      <c r="F52" s="16"/>
    </row>
    <row r="53" spans="1:6" x14ac:dyDescent="0.3">
      <c r="A53" s="23" t="s">
        <v>114</v>
      </c>
      <c r="B53" s="12" t="s">
        <v>115</v>
      </c>
      <c r="C53" s="24" t="s">
        <v>23</v>
      </c>
      <c r="D53" s="15">
        <f>(1.5*1.2*2*4)+(1.5*2.5*2)</f>
        <v>21.9</v>
      </c>
      <c r="E53" s="13"/>
      <c r="F53" s="16"/>
    </row>
    <row r="54" spans="1:6" x14ac:dyDescent="0.3">
      <c r="A54" s="19"/>
      <c r="B54" s="10" t="s">
        <v>116</v>
      </c>
      <c r="C54" s="12"/>
      <c r="D54" s="12"/>
      <c r="E54" s="13"/>
      <c r="F54" s="17"/>
    </row>
    <row r="55" spans="1:6" x14ac:dyDescent="0.3">
      <c r="A55" s="20" t="s">
        <v>117</v>
      </c>
      <c r="B55" s="10" t="s">
        <v>118</v>
      </c>
      <c r="C55" s="12"/>
      <c r="D55" s="12"/>
      <c r="E55" s="13"/>
      <c r="F55" s="17"/>
    </row>
    <row r="56" spans="1:6" ht="41.4" x14ac:dyDescent="0.3">
      <c r="A56" s="19" t="s">
        <v>119</v>
      </c>
      <c r="B56" s="18" t="s">
        <v>120</v>
      </c>
      <c r="C56" s="11" t="s">
        <v>121</v>
      </c>
      <c r="D56" s="12">
        <v>1</v>
      </c>
      <c r="E56" s="13"/>
      <c r="F56" s="16"/>
    </row>
    <row r="57" spans="1:6" ht="27.6" x14ac:dyDescent="0.3">
      <c r="A57" s="19" t="s">
        <v>122</v>
      </c>
      <c r="B57" s="18" t="s">
        <v>123</v>
      </c>
      <c r="C57" s="11" t="s">
        <v>121</v>
      </c>
      <c r="D57" s="12">
        <v>1</v>
      </c>
      <c r="E57" s="13"/>
      <c r="F57" s="16"/>
    </row>
    <row r="58" spans="1:6" x14ac:dyDescent="0.3">
      <c r="A58" s="19" t="s">
        <v>124</v>
      </c>
      <c r="B58" s="12" t="s">
        <v>125</v>
      </c>
      <c r="C58" s="12" t="s">
        <v>126</v>
      </c>
      <c r="D58" s="12">
        <v>1</v>
      </c>
      <c r="E58" s="13"/>
      <c r="F58" s="16"/>
    </row>
    <row r="59" spans="1:6" x14ac:dyDescent="0.3">
      <c r="A59" s="19" t="s">
        <v>127</v>
      </c>
      <c r="B59" s="12" t="s">
        <v>128</v>
      </c>
      <c r="C59" s="12" t="s">
        <v>126</v>
      </c>
      <c r="D59" s="12">
        <v>1</v>
      </c>
      <c r="E59" s="13"/>
      <c r="F59" s="16"/>
    </row>
    <row r="60" spans="1:6" x14ac:dyDescent="0.3">
      <c r="A60" s="19"/>
      <c r="B60" s="10" t="s">
        <v>129</v>
      </c>
      <c r="C60" s="12"/>
      <c r="D60" s="12"/>
      <c r="E60" s="13"/>
      <c r="F60" s="17"/>
    </row>
    <row r="61" spans="1:6" x14ac:dyDescent="0.3">
      <c r="A61" s="20" t="s">
        <v>130</v>
      </c>
      <c r="B61" s="10" t="s">
        <v>131</v>
      </c>
      <c r="C61" s="11"/>
      <c r="D61" s="12"/>
      <c r="E61" s="13"/>
      <c r="F61" s="16"/>
    </row>
    <row r="62" spans="1:6" ht="27.6" x14ac:dyDescent="0.3">
      <c r="A62" s="19" t="s">
        <v>132</v>
      </c>
      <c r="B62" s="18" t="s">
        <v>133</v>
      </c>
      <c r="C62" s="11" t="s">
        <v>121</v>
      </c>
      <c r="D62" s="12">
        <v>1</v>
      </c>
      <c r="E62" s="13"/>
      <c r="F62" s="16"/>
    </row>
    <row r="63" spans="1:6" x14ac:dyDescent="0.3">
      <c r="A63" s="19" t="s">
        <v>134</v>
      </c>
      <c r="B63" s="12" t="s">
        <v>135</v>
      </c>
      <c r="C63" s="11" t="s">
        <v>121</v>
      </c>
      <c r="D63" s="12">
        <v>1</v>
      </c>
      <c r="E63" s="13"/>
      <c r="F63" s="16"/>
    </row>
    <row r="64" spans="1:6" x14ac:dyDescent="0.3">
      <c r="A64" s="19" t="s">
        <v>136</v>
      </c>
      <c r="B64" s="12" t="s">
        <v>137</v>
      </c>
      <c r="C64" s="11" t="s">
        <v>121</v>
      </c>
      <c r="D64" s="12">
        <v>1</v>
      </c>
      <c r="E64" s="13"/>
      <c r="F64" s="16"/>
    </row>
    <row r="65" spans="1:6" x14ac:dyDescent="0.3">
      <c r="A65" s="19" t="s">
        <v>138</v>
      </c>
      <c r="B65" s="12" t="s">
        <v>139</v>
      </c>
      <c r="C65" s="11" t="s">
        <v>100</v>
      </c>
      <c r="D65" s="12">
        <v>2</v>
      </c>
      <c r="E65" s="13"/>
      <c r="F65" s="16"/>
    </row>
    <row r="66" spans="1:6" x14ac:dyDescent="0.3">
      <c r="A66" s="19" t="s">
        <v>140</v>
      </c>
      <c r="B66" s="12" t="s">
        <v>141</v>
      </c>
      <c r="C66" s="11" t="s">
        <v>100</v>
      </c>
      <c r="D66" s="12">
        <v>4</v>
      </c>
      <c r="E66" s="13"/>
      <c r="F66" s="16"/>
    </row>
    <row r="67" spans="1:6" x14ac:dyDescent="0.3">
      <c r="A67" s="19" t="s">
        <v>142</v>
      </c>
      <c r="B67" s="12" t="s">
        <v>143</v>
      </c>
      <c r="C67" s="11" t="s">
        <v>100</v>
      </c>
      <c r="D67" s="15">
        <v>1</v>
      </c>
      <c r="E67" s="13"/>
      <c r="F67" s="16"/>
    </row>
    <row r="68" spans="1:6" x14ac:dyDescent="0.3">
      <c r="A68" s="19" t="s">
        <v>144</v>
      </c>
      <c r="B68" s="12" t="s">
        <v>145</v>
      </c>
      <c r="C68" s="11" t="s">
        <v>100</v>
      </c>
      <c r="D68" s="15">
        <v>4</v>
      </c>
      <c r="E68" s="13"/>
      <c r="F68" s="16"/>
    </row>
    <row r="69" spans="1:6" ht="27.6" x14ac:dyDescent="0.3">
      <c r="A69" s="19" t="s">
        <v>146</v>
      </c>
      <c r="B69" s="18" t="s">
        <v>147</v>
      </c>
      <c r="C69" s="11" t="s">
        <v>100</v>
      </c>
      <c r="D69" s="15">
        <v>3</v>
      </c>
      <c r="E69" s="13"/>
      <c r="F69" s="16"/>
    </row>
    <row r="70" spans="1:6" x14ac:dyDescent="0.3">
      <c r="A70" s="19" t="s">
        <v>148</v>
      </c>
      <c r="B70" s="12" t="s">
        <v>149</v>
      </c>
      <c r="C70" s="11" t="s">
        <v>100</v>
      </c>
      <c r="D70" s="15">
        <v>1</v>
      </c>
      <c r="E70" s="13"/>
      <c r="F70" s="16"/>
    </row>
    <row r="71" spans="1:6" ht="15" thickBot="1" x14ac:dyDescent="0.35">
      <c r="A71" s="19"/>
      <c r="B71" s="10" t="s">
        <v>150</v>
      </c>
      <c r="C71" s="12"/>
      <c r="D71" s="12"/>
      <c r="E71" s="13"/>
      <c r="F71" s="17"/>
    </row>
    <row r="72" spans="1:6" ht="15" thickBot="1" x14ac:dyDescent="0.35">
      <c r="A72" s="144" t="s">
        <v>151</v>
      </c>
      <c r="B72" s="145"/>
      <c r="C72" s="145"/>
      <c r="D72" s="145"/>
      <c r="E72" s="145"/>
      <c r="F72" s="25">
        <f>F71+F54+F49+F43+F35+F29+F10+F60</f>
        <v>0</v>
      </c>
    </row>
    <row r="73" spans="1:6" ht="15" thickBot="1" x14ac:dyDescent="0.35">
      <c r="A73" s="144" t="s">
        <v>152</v>
      </c>
      <c r="B73" s="145"/>
      <c r="C73" s="145"/>
      <c r="D73" s="145"/>
      <c r="E73" s="145"/>
      <c r="F73" s="26">
        <f>F72/655.957</f>
        <v>0</v>
      </c>
    </row>
  </sheetData>
  <mergeCells count="3">
    <mergeCell ref="A2:F2"/>
    <mergeCell ref="A72:E72"/>
    <mergeCell ref="A73:E73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50BBC-AC03-438E-9216-7273DC2C809D}">
  <dimension ref="A1:J73"/>
  <sheetViews>
    <sheetView topLeftCell="A67" zoomScale="150" zoomScaleNormal="150" workbookViewId="0">
      <selection activeCell="A3" sqref="A3"/>
    </sheetView>
  </sheetViews>
  <sheetFormatPr baseColWidth="10" defaultColWidth="11.44140625" defaultRowHeight="14.4" x14ac:dyDescent="0.3"/>
  <cols>
    <col min="1" max="1" width="5.5546875" customWidth="1"/>
    <col min="2" max="2" width="43.88671875" customWidth="1"/>
    <col min="3" max="3" width="7.109375" customWidth="1"/>
    <col min="4" max="4" width="9.6640625" customWidth="1"/>
    <col min="5" max="5" width="10.109375" style="1" customWidth="1"/>
  </cols>
  <sheetData>
    <row r="1" spans="1:6" ht="15" thickBot="1" x14ac:dyDescent="0.35"/>
    <row r="2" spans="1:6" ht="28.95" customHeight="1" thickBot="1" x14ac:dyDescent="0.35">
      <c r="A2" s="141" t="s">
        <v>13</v>
      </c>
      <c r="B2" s="142"/>
      <c r="C2" s="142"/>
      <c r="D2" s="142"/>
      <c r="E2" s="142"/>
      <c r="F2" s="143"/>
    </row>
    <row r="3" spans="1:6" x14ac:dyDescent="0.3">
      <c r="A3" s="2"/>
      <c r="B3" s="3"/>
      <c r="C3" s="3"/>
      <c r="D3" s="3"/>
      <c r="E3" s="4"/>
      <c r="F3" s="3"/>
    </row>
    <row r="4" spans="1:6" x14ac:dyDescent="0.3">
      <c r="A4" s="5" t="s">
        <v>1</v>
      </c>
      <c r="B4" s="6" t="s">
        <v>14</v>
      </c>
      <c r="C4" s="7" t="s">
        <v>15</v>
      </c>
      <c r="D4" s="7" t="s">
        <v>16</v>
      </c>
      <c r="E4" s="8" t="s">
        <v>17</v>
      </c>
      <c r="F4" s="7" t="s">
        <v>18</v>
      </c>
    </row>
    <row r="5" spans="1:6" x14ac:dyDescent="0.3">
      <c r="A5" s="9" t="s">
        <v>19</v>
      </c>
      <c r="B5" s="10" t="s">
        <v>20</v>
      </c>
      <c r="C5" s="11"/>
      <c r="D5" s="12"/>
      <c r="E5" s="13"/>
      <c r="F5" s="12"/>
    </row>
    <row r="6" spans="1:6" x14ac:dyDescent="0.3">
      <c r="A6" s="14" t="s">
        <v>21</v>
      </c>
      <c r="B6" s="12" t="s">
        <v>22</v>
      </c>
      <c r="C6" s="11" t="s">
        <v>23</v>
      </c>
      <c r="D6" s="15">
        <f>14.3*9.8</f>
        <v>140.14000000000001</v>
      </c>
      <c r="E6" s="13"/>
      <c r="F6" s="16"/>
    </row>
    <row r="7" spans="1:6" x14ac:dyDescent="0.3">
      <c r="A7" s="14" t="s">
        <v>24</v>
      </c>
      <c r="B7" s="12" t="s">
        <v>25</v>
      </c>
      <c r="C7" s="11" t="s">
        <v>26</v>
      </c>
      <c r="D7" s="15">
        <f>44.2*0.5*0.85</f>
        <v>18.785</v>
      </c>
      <c r="E7" s="13"/>
      <c r="F7" s="16"/>
    </row>
    <row r="8" spans="1:6" x14ac:dyDescent="0.3">
      <c r="A8" s="14" t="s">
        <v>27</v>
      </c>
      <c r="B8" s="12" t="s">
        <v>28</v>
      </c>
      <c r="C8" s="11" t="s">
        <v>26</v>
      </c>
      <c r="D8" s="15">
        <f>0.3*0.55*44.2</f>
        <v>7.293000000000001</v>
      </c>
      <c r="E8" s="13"/>
      <c r="F8" s="16"/>
    </row>
    <row r="9" spans="1:6" x14ac:dyDescent="0.3">
      <c r="A9" s="14" t="s">
        <v>29</v>
      </c>
      <c r="B9" s="12" t="s">
        <v>30</v>
      </c>
      <c r="C9" s="11" t="s">
        <v>26</v>
      </c>
      <c r="D9" s="15">
        <f>(53.96+7.2)*0.2</f>
        <v>12.232000000000001</v>
      </c>
      <c r="E9" s="13"/>
      <c r="F9" s="16"/>
    </row>
    <row r="10" spans="1:6" x14ac:dyDescent="0.3">
      <c r="A10" s="14"/>
      <c r="B10" s="10" t="s">
        <v>31</v>
      </c>
      <c r="C10" s="11"/>
      <c r="D10" s="12"/>
      <c r="E10" s="13"/>
      <c r="F10" s="17"/>
    </row>
    <row r="11" spans="1:6" x14ac:dyDescent="0.3">
      <c r="A11" s="9" t="s">
        <v>32</v>
      </c>
      <c r="B11" s="10" t="s">
        <v>33</v>
      </c>
      <c r="C11" s="11"/>
      <c r="D11" s="12"/>
      <c r="E11" s="13"/>
      <c r="F11" s="16"/>
    </row>
    <row r="12" spans="1:6" ht="27.6" x14ac:dyDescent="0.3">
      <c r="A12" s="14" t="s">
        <v>34</v>
      </c>
      <c r="B12" s="18" t="s">
        <v>35</v>
      </c>
      <c r="C12" s="11" t="s">
        <v>26</v>
      </c>
      <c r="D12" s="15">
        <f>44.2*0.05*0.5</f>
        <v>1.1050000000000002</v>
      </c>
      <c r="E12" s="13"/>
      <c r="F12" s="16"/>
    </row>
    <row r="13" spans="1:6" x14ac:dyDescent="0.3">
      <c r="A13" s="14" t="s">
        <v>36</v>
      </c>
      <c r="B13" s="12" t="s">
        <v>37</v>
      </c>
      <c r="C13" s="11" t="s">
        <v>26</v>
      </c>
      <c r="D13" s="15">
        <f>44.2*0.2*0.5</f>
        <v>4.4200000000000008</v>
      </c>
      <c r="E13" s="13"/>
      <c r="F13" s="16"/>
    </row>
    <row r="14" spans="1:6" ht="15" customHeight="1" x14ac:dyDescent="0.3">
      <c r="A14" s="14" t="s">
        <v>38</v>
      </c>
      <c r="B14" s="18" t="s">
        <v>39</v>
      </c>
      <c r="C14" s="11" t="s">
        <v>26</v>
      </c>
      <c r="D14" s="15">
        <f>12*0.2*0.2*0.9</f>
        <v>0.43200000000000011</v>
      </c>
      <c r="E14" s="13"/>
      <c r="F14" s="16"/>
    </row>
    <row r="15" spans="1:6" x14ac:dyDescent="0.3">
      <c r="A15" s="14" t="s">
        <v>40</v>
      </c>
      <c r="B15" s="12" t="s">
        <v>41</v>
      </c>
      <c r="C15" s="11" t="s">
        <v>26</v>
      </c>
      <c r="D15" s="15">
        <f>44.2*0.2*0.2</f>
        <v>1.7680000000000005</v>
      </c>
      <c r="E15" s="13"/>
      <c r="F15" s="16"/>
    </row>
    <row r="16" spans="1:6" ht="15.75" customHeight="1" x14ac:dyDescent="0.3">
      <c r="A16" s="14" t="s">
        <v>42</v>
      </c>
      <c r="B16" s="18" t="s">
        <v>43</v>
      </c>
      <c r="C16" s="11" t="s">
        <v>26</v>
      </c>
      <c r="D16" s="15">
        <f>(53.96+7.2)*0.1</f>
        <v>6.1160000000000005</v>
      </c>
      <c r="E16" s="13"/>
      <c r="F16" s="16"/>
    </row>
    <row r="17" spans="1:6" ht="27.6" x14ac:dyDescent="0.3">
      <c r="A17" s="14" t="s">
        <v>44</v>
      </c>
      <c r="B17" s="18" t="s">
        <v>45</v>
      </c>
      <c r="C17" s="11" t="s">
        <v>26</v>
      </c>
      <c r="D17" s="15">
        <f>10*0.15*0.15*4.3</f>
        <v>0.96749999999999992</v>
      </c>
      <c r="E17" s="13"/>
      <c r="F17" s="16"/>
    </row>
    <row r="18" spans="1:6" x14ac:dyDescent="0.3">
      <c r="A18" s="14" t="s">
        <v>46</v>
      </c>
      <c r="B18" s="12" t="s">
        <v>47</v>
      </c>
      <c r="C18" s="11" t="s">
        <v>26</v>
      </c>
      <c r="D18" s="15">
        <f>12.3*0.15*0.1</f>
        <v>0.1845</v>
      </c>
      <c r="E18" s="13"/>
      <c r="F18" s="16"/>
    </row>
    <row r="19" spans="1:6" x14ac:dyDescent="0.3">
      <c r="A19" s="14" t="s">
        <v>48</v>
      </c>
      <c r="B19" s="12" t="s">
        <v>49</v>
      </c>
      <c r="C19" s="11" t="s">
        <v>26</v>
      </c>
      <c r="D19" s="15">
        <f>36.6*0.15*0.2</f>
        <v>1.0980000000000001</v>
      </c>
      <c r="E19" s="13"/>
      <c r="F19" s="16"/>
    </row>
    <row r="20" spans="1:6" ht="27.6" x14ac:dyDescent="0.3">
      <c r="A20" s="14" t="s">
        <v>50</v>
      </c>
      <c r="B20" s="18" t="s">
        <v>51</v>
      </c>
      <c r="C20" s="11" t="s">
        <v>26</v>
      </c>
      <c r="D20" s="15">
        <f>0.6*12.3*0.15</f>
        <v>1.107</v>
      </c>
      <c r="E20" s="13"/>
      <c r="F20" s="16"/>
    </row>
    <row r="21" spans="1:6" x14ac:dyDescent="0.3">
      <c r="A21" s="14" t="s">
        <v>52</v>
      </c>
      <c r="B21" s="12" t="s">
        <v>53</v>
      </c>
      <c r="C21" s="11" t="s">
        <v>26</v>
      </c>
      <c r="D21" s="15">
        <f>(5.4*2+0.6*3+12.3*2)*0.2*0.15</f>
        <v>1.1160000000000001</v>
      </c>
      <c r="E21" s="13"/>
      <c r="F21" s="16"/>
    </row>
    <row r="22" spans="1:6" ht="27.6" x14ac:dyDescent="0.3">
      <c r="A22" s="14" t="s">
        <v>54</v>
      </c>
      <c r="B22" s="18" t="s">
        <v>55</v>
      </c>
      <c r="C22" s="11" t="s">
        <v>26</v>
      </c>
      <c r="D22" s="15">
        <f>12.3*0.15*0.2*2</f>
        <v>0.73799999999999999</v>
      </c>
      <c r="E22" s="13"/>
      <c r="F22" s="16"/>
    </row>
    <row r="23" spans="1:6" x14ac:dyDescent="0.3">
      <c r="A23" s="14" t="s">
        <v>56</v>
      </c>
      <c r="B23" s="18" t="s">
        <v>57</v>
      </c>
      <c r="C23" s="11" t="s">
        <v>26</v>
      </c>
      <c r="D23" s="15">
        <f>D21</f>
        <v>1.1160000000000001</v>
      </c>
      <c r="E23" s="13"/>
      <c r="F23" s="16"/>
    </row>
    <row r="24" spans="1:6" x14ac:dyDescent="0.3">
      <c r="A24" s="14" t="s">
        <v>58</v>
      </c>
      <c r="B24" s="12" t="s">
        <v>59</v>
      </c>
      <c r="C24" s="11" t="s">
        <v>26</v>
      </c>
      <c r="D24" s="15">
        <f>(0.6*0.1*4)+(0.15*0.3*4)</f>
        <v>0.42</v>
      </c>
      <c r="E24" s="13"/>
      <c r="F24" s="16"/>
    </row>
    <row r="25" spans="1:6" x14ac:dyDescent="0.3">
      <c r="A25" s="14" t="s">
        <v>60</v>
      </c>
      <c r="B25" s="12" t="s">
        <v>61</v>
      </c>
      <c r="C25" s="11" t="s">
        <v>26</v>
      </c>
      <c r="D25" s="15">
        <f>0.5*3.5*1</f>
        <v>1.75</v>
      </c>
      <c r="E25" s="13"/>
      <c r="F25" s="16"/>
    </row>
    <row r="26" spans="1:6" ht="15" customHeight="1" x14ac:dyDescent="0.3">
      <c r="A26" s="14" t="s">
        <v>62</v>
      </c>
      <c r="B26" s="18" t="s">
        <v>63</v>
      </c>
      <c r="C26" s="11" t="s">
        <v>23</v>
      </c>
      <c r="D26" s="15">
        <f>44.2*0.7</f>
        <v>30.94</v>
      </c>
      <c r="E26" s="13"/>
      <c r="F26" s="16"/>
    </row>
    <row r="27" spans="1:6" x14ac:dyDescent="0.3">
      <c r="A27" s="14" t="s">
        <v>64</v>
      </c>
      <c r="B27" s="12" t="s">
        <v>65</v>
      </c>
      <c r="C27" s="11" t="s">
        <v>23</v>
      </c>
      <c r="D27" s="15">
        <f>36.6*4.3</f>
        <v>157.38</v>
      </c>
      <c r="E27" s="13"/>
      <c r="F27" s="16"/>
    </row>
    <row r="28" spans="1:6" ht="27.6" x14ac:dyDescent="0.3">
      <c r="A28" s="14" t="s">
        <v>66</v>
      </c>
      <c r="B28" s="18" t="s">
        <v>67</v>
      </c>
      <c r="C28" s="11" t="s">
        <v>26</v>
      </c>
      <c r="D28" s="15">
        <f>(5.4*2*0.4)+(12.3*0.6*0.4)</f>
        <v>7.2720000000000002</v>
      </c>
      <c r="E28" s="13"/>
      <c r="F28" s="16"/>
    </row>
    <row r="29" spans="1:6" x14ac:dyDescent="0.3">
      <c r="A29" s="19"/>
      <c r="B29" s="10" t="s">
        <v>68</v>
      </c>
      <c r="C29" s="11"/>
      <c r="D29" s="12"/>
      <c r="E29" s="13"/>
      <c r="F29" s="17"/>
    </row>
    <row r="30" spans="1:6" x14ac:dyDescent="0.3">
      <c r="A30" s="20" t="s">
        <v>69</v>
      </c>
      <c r="B30" s="10" t="s">
        <v>70</v>
      </c>
      <c r="C30" s="11"/>
      <c r="D30" s="12"/>
      <c r="E30" s="13"/>
      <c r="F30" s="16"/>
    </row>
    <row r="31" spans="1:6" x14ac:dyDescent="0.3">
      <c r="A31" s="14" t="s">
        <v>71</v>
      </c>
      <c r="B31" s="12" t="s">
        <v>72</v>
      </c>
      <c r="C31" s="11" t="s">
        <v>23</v>
      </c>
      <c r="D31" s="15">
        <f>((12.3*2+5.4*2+0.6*6)*4.85)-(1.2*1.5*4+1.5*2.5)</f>
        <v>178.20000000000005</v>
      </c>
      <c r="E31" s="13"/>
      <c r="F31" s="16"/>
    </row>
    <row r="32" spans="1:6" x14ac:dyDescent="0.3">
      <c r="A32" s="14" t="s">
        <v>73</v>
      </c>
      <c r="B32" s="12" t="s">
        <v>74</v>
      </c>
      <c r="C32" s="11" t="s">
        <v>23</v>
      </c>
      <c r="D32" s="15">
        <f>D31</f>
        <v>178.20000000000005</v>
      </c>
      <c r="E32" s="13"/>
      <c r="F32" s="16"/>
    </row>
    <row r="33" spans="1:10" ht="27.6" x14ac:dyDescent="0.3">
      <c r="A33" s="14" t="s">
        <v>75</v>
      </c>
      <c r="B33" s="18" t="s">
        <v>76</v>
      </c>
      <c r="C33" s="11" t="s">
        <v>23</v>
      </c>
      <c r="D33" s="15">
        <f>((12*2+4.5*2)*3.2)-(1.2*1.5*4+1.5*2.5)</f>
        <v>94.65</v>
      </c>
      <c r="E33" s="13"/>
      <c r="F33" s="16"/>
    </row>
    <row r="34" spans="1:10" x14ac:dyDescent="0.3">
      <c r="A34" s="14" t="s">
        <v>77</v>
      </c>
      <c r="B34" s="12" t="s">
        <v>78</v>
      </c>
      <c r="C34" s="11" t="s">
        <v>23</v>
      </c>
      <c r="D34" s="15">
        <f>(53.96+7.2+3.6)</f>
        <v>64.760000000000005</v>
      </c>
      <c r="E34" s="13"/>
      <c r="F34" s="16"/>
    </row>
    <row r="35" spans="1:10" x14ac:dyDescent="0.3">
      <c r="A35" s="14"/>
      <c r="B35" s="10" t="s">
        <v>79</v>
      </c>
      <c r="C35" s="11"/>
      <c r="D35" s="15"/>
      <c r="E35" s="13"/>
      <c r="F35" s="17"/>
    </row>
    <row r="36" spans="1:10" x14ac:dyDescent="0.3">
      <c r="A36" s="20" t="s">
        <v>80</v>
      </c>
      <c r="B36" s="10" t="s">
        <v>81</v>
      </c>
      <c r="C36" s="11"/>
      <c r="D36" s="12"/>
      <c r="E36" s="13"/>
      <c r="F36" s="16"/>
    </row>
    <row r="37" spans="1:10" x14ac:dyDescent="0.3">
      <c r="A37" s="19" t="s">
        <v>82</v>
      </c>
      <c r="B37" s="18" t="s">
        <v>83</v>
      </c>
      <c r="C37" s="11" t="s">
        <v>84</v>
      </c>
      <c r="D37" s="12">
        <f>4.75*3</f>
        <v>14.25</v>
      </c>
      <c r="E37" s="13"/>
      <c r="F37" s="16"/>
    </row>
    <row r="38" spans="1:10" x14ac:dyDescent="0.3">
      <c r="A38" s="19" t="s">
        <v>85</v>
      </c>
      <c r="B38" s="18" t="s">
        <v>86</v>
      </c>
      <c r="C38" s="11" t="s">
        <v>84</v>
      </c>
      <c r="D38" s="12">
        <f>7*12.3</f>
        <v>86.100000000000009</v>
      </c>
      <c r="E38" s="13"/>
      <c r="F38" s="16"/>
    </row>
    <row r="39" spans="1:10" x14ac:dyDescent="0.3">
      <c r="A39" s="19" t="s">
        <v>87</v>
      </c>
      <c r="B39" s="18" t="s">
        <v>88</v>
      </c>
      <c r="C39" s="11" t="s">
        <v>84</v>
      </c>
      <c r="D39" s="12">
        <f>D38</f>
        <v>86.100000000000009</v>
      </c>
      <c r="E39" s="13"/>
      <c r="F39" s="16"/>
    </row>
    <row r="40" spans="1:10" ht="27.6" x14ac:dyDescent="0.3">
      <c r="A40" s="19" t="s">
        <v>89</v>
      </c>
      <c r="B40" s="18" t="s">
        <v>90</v>
      </c>
      <c r="C40" s="11" t="s">
        <v>23</v>
      </c>
      <c r="D40" s="12">
        <f>5.65*12.3</f>
        <v>69.495000000000005</v>
      </c>
      <c r="E40" s="13"/>
      <c r="F40" s="16"/>
    </row>
    <row r="41" spans="1:10" x14ac:dyDescent="0.3">
      <c r="A41" s="19" t="s">
        <v>91</v>
      </c>
      <c r="B41" s="12" t="s">
        <v>92</v>
      </c>
      <c r="C41" s="11" t="s">
        <v>23</v>
      </c>
      <c r="D41" s="15">
        <f>(12.3+10.8)*0.5</f>
        <v>11.55</v>
      </c>
      <c r="E41" s="13"/>
      <c r="F41" s="16"/>
      <c r="J41" s="21"/>
    </row>
    <row r="42" spans="1:10" ht="41.4" x14ac:dyDescent="0.3">
      <c r="A42" s="19" t="s">
        <v>93</v>
      </c>
      <c r="B42" s="18" t="s">
        <v>94</v>
      </c>
      <c r="C42" s="11" t="s">
        <v>23</v>
      </c>
      <c r="D42" s="15">
        <f>53.9</f>
        <v>53.9</v>
      </c>
      <c r="E42" s="13"/>
      <c r="F42" s="16"/>
    </row>
    <row r="43" spans="1:10" x14ac:dyDescent="0.3">
      <c r="A43" s="19"/>
      <c r="B43" s="10" t="s">
        <v>95</v>
      </c>
      <c r="C43" s="11"/>
      <c r="D43" s="12"/>
      <c r="E43" s="13"/>
      <c r="F43" s="17"/>
    </row>
    <row r="44" spans="1:10" x14ac:dyDescent="0.3">
      <c r="A44" s="20" t="s">
        <v>96</v>
      </c>
      <c r="B44" s="10" t="s">
        <v>97</v>
      </c>
      <c r="C44" s="11"/>
      <c r="D44" s="12"/>
      <c r="E44" s="13"/>
      <c r="F44" s="16"/>
    </row>
    <row r="45" spans="1:10" ht="41.4" x14ac:dyDescent="0.3">
      <c r="A45" s="14" t="s">
        <v>98</v>
      </c>
      <c r="B45" s="18" t="s">
        <v>99</v>
      </c>
      <c r="C45" s="11" t="s">
        <v>100</v>
      </c>
      <c r="D45" s="15">
        <v>1</v>
      </c>
      <c r="E45" s="13"/>
      <c r="F45" s="16"/>
    </row>
    <row r="46" spans="1:10" ht="41.4" x14ac:dyDescent="0.3">
      <c r="A46" s="14" t="s">
        <v>101</v>
      </c>
      <c r="B46" s="18" t="s">
        <v>102</v>
      </c>
      <c r="C46" s="22" t="s">
        <v>100</v>
      </c>
      <c r="D46" s="15">
        <v>4</v>
      </c>
      <c r="E46" s="13"/>
      <c r="F46" s="16"/>
    </row>
    <row r="47" spans="1:10" ht="27.6" x14ac:dyDescent="0.3">
      <c r="A47" s="14" t="s">
        <v>103</v>
      </c>
      <c r="B47" s="18" t="s">
        <v>104</v>
      </c>
      <c r="C47" s="22" t="s">
        <v>100</v>
      </c>
      <c r="D47" s="15">
        <v>4</v>
      </c>
      <c r="E47" s="13"/>
      <c r="F47" s="16"/>
    </row>
    <row r="48" spans="1:10" ht="27.6" x14ac:dyDescent="0.3">
      <c r="A48" s="14" t="s">
        <v>105</v>
      </c>
      <c r="B48" s="18" t="s">
        <v>106</v>
      </c>
      <c r="C48" s="22" t="s">
        <v>100</v>
      </c>
      <c r="D48" s="15">
        <v>8</v>
      </c>
      <c r="E48" s="13"/>
      <c r="F48" s="16"/>
    </row>
    <row r="49" spans="1:6" x14ac:dyDescent="0.3">
      <c r="A49" s="19"/>
      <c r="B49" s="10" t="s">
        <v>107</v>
      </c>
      <c r="C49" s="12"/>
      <c r="D49" s="12"/>
      <c r="E49" s="13"/>
      <c r="F49" s="17"/>
    </row>
    <row r="50" spans="1:6" x14ac:dyDescent="0.3">
      <c r="A50" s="20" t="s">
        <v>108</v>
      </c>
      <c r="B50" s="10" t="s">
        <v>109</v>
      </c>
      <c r="C50" s="12"/>
      <c r="D50" s="12"/>
      <c r="E50" s="13"/>
      <c r="F50" s="16"/>
    </row>
    <row r="51" spans="1:6" x14ac:dyDescent="0.3">
      <c r="A51" s="23" t="s">
        <v>110</v>
      </c>
      <c r="B51" s="12" t="s">
        <v>111</v>
      </c>
      <c r="C51" s="24" t="s">
        <v>23</v>
      </c>
      <c r="D51" s="15">
        <f>D33</f>
        <v>94.65</v>
      </c>
      <c r="E51" s="13"/>
      <c r="F51" s="16"/>
    </row>
    <row r="52" spans="1:6" x14ac:dyDescent="0.3">
      <c r="A52" s="23" t="s">
        <v>112</v>
      </c>
      <c r="B52" s="12" t="s">
        <v>113</v>
      </c>
      <c r="C52" s="24" t="s">
        <v>23</v>
      </c>
      <c r="D52" s="15">
        <f>D42</f>
        <v>53.9</v>
      </c>
      <c r="E52" s="13"/>
      <c r="F52" s="16"/>
    </row>
    <row r="53" spans="1:6" x14ac:dyDescent="0.3">
      <c r="A53" s="23" t="s">
        <v>114</v>
      </c>
      <c r="B53" s="12" t="s">
        <v>115</v>
      </c>
      <c r="C53" s="24" t="s">
        <v>23</v>
      </c>
      <c r="D53" s="15">
        <f>(1.5*1.2*2*4)+(1.5*2.5*2)</f>
        <v>21.9</v>
      </c>
      <c r="E53" s="13"/>
      <c r="F53" s="16"/>
    </row>
    <row r="54" spans="1:6" x14ac:dyDescent="0.3">
      <c r="A54" s="19"/>
      <c r="B54" s="10" t="s">
        <v>116</v>
      </c>
      <c r="C54" s="12"/>
      <c r="D54" s="12"/>
      <c r="E54" s="13"/>
      <c r="F54" s="17"/>
    </row>
    <row r="55" spans="1:6" x14ac:dyDescent="0.3">
      <c r="A55" s="20" t="s">
        <v>117</v>
      </c>
      <c r="B55" s="10" t="s">
        <v>118</v>
      </c>
      <c r="C55" s="12"/>
      <c r="D55" s="12"/>
      <c r="E55" s="13"/>
      <c r="F55" s="17"/>
    </row>
    <row r="56" spans="1:6" ht="41.4" x14ac:dyDescent="0.3">
      <c r="A56" s="19" t="s">
        <v>119</v>
      </c>
      <c r="B56" s="18" t="s">
        <v>120</v>
      </c>
      <c r="C56" s="11" t="s">
        <v>121</v>
      </c>
      <c r="D56" s="12">
        <v>1</v>
      </c>
      <c r="E56" s="13"/>
      <c r="F56" s="16"/>
    </row>
    <row r="57" spans="1:6" ht="27.6" x14ac:dyDescent="0.3">
      <c r="A57" s="19" t="s">
        <v>122</v>
      </c>
      <c r="B57" s="18" t="s">
        <v>123</v>
      </c>
      <c r="C57" s="11" t="s">
        <v>121</v>
      </c>
      <c r="D57" s="12">
        <v>1</v>
      </c>
      <c r="E57" s="13"/>
      <c r="F57" s="16"/>
    </row>
    <row r="58" spans="1:6" x14ac:dyDescent="0.3">
      <c r="A58" s="19" t="s">
        <v>124</v>
      </c>
      <c r="B58" s="12" t="s">
        <v>125</v>
      </c>
      <c r="C58" s="12" t="s">
        <v>126</v>
      </c>
      <c r="D58" s="12">
        <v>1</v>
      </c>
      <c r="E58" s="13"/>
      <c r="F58" s="16"/>
    </row>
    <row r="59" spans="1:6" x14ac:dyDescent="0.3">
      <c r="A59" s="19" t="s">
        <v>127</v>
      </c>
      <c r="B59" s="12" t="s">
        <v>128</v>
      </c>
      <c r="C59" s="12" t="s">
        <v>126</v>
      </c>
      <c r="D59" s="12">
        <v>1</v>
      </c>
      <c r="E59" s="13"/>
      <c r="F59" s="16"/>
    </row>
    <row r="60" spans="1:6" x14ac:dyDescent="0.3">
      <c r="A60" s="19"/>
      <c r="B60" s="10" t="s">
        <v>129</v>
      </c>
      <c r="C60" s="12"/>
      <c r="D60" s="12"/>
      <c r="E60" s="13"/>
      <c r="F60" s="17"/>
    </row>
    <row r="61" spans="1:6" x14ac:dyDescent="0.3">
      <c r="A61" s="20" t="s">
        <v>130</v>
      </c>
      <c r="B61" s="10" t="s">
        <v>131</v>
      </c>
      <c r="C61" s="11"/>
      <c r="D61" s="12"/>
      <c r="E61" s="13"/>
      <c r="F61" s="16"/>
    </row>
    <row r="62" spans="1:6" ht="27.6" x14ac:dyDescent="0.3">
      <c r="A62" s="19" t="s">
        <v>132</v>
      </c>
      <c r="B62" s="18" t="s">
        <v>133</v>
      </c>
      <c r="C62" s="11" t="s">
        <v>121</v>
      </c>
      <c r="D62" s="12">
        <v>1</v>
      </c>
      <c r="E62" s="13"/>
      <c r="F62" s="16"/>
    </row>
    <row r="63" spans="1:6" x14ac:dyDescent="0.3">
      <c r="A63" s="19" t="s">
        <v>134</v>
      </c>
      <c r="B63" s="12" t="s">
        <v>135</v>
      </c>
      <c r="C63" s="11" t="s">
        <v>121</v>
      </c>
      <c r="D63" s="12">
        <v>1</v>
      </c>
      <c r="E63" s="13"/>
      <c r="F63" s="16"/>
    </row>
    <row r="64" spans="1:6" x14ac:dyDescent="0.3">
      <c r="A64" s="19" t="s">
        <v>136</v>
      </c>
      <c r="B64" s="12" t="s">
        <v>137</v>
      </c>
      <c r="C64" s="11" t="s">
        <v>121</v>
      </c>
      <c r="D64" s="12">
        <v>1</v>
      </c>
      <c r="E64" s="13"/>
      <c r="F64" s="16"/>
    </row>
    <row r="65" spans="1:6" x14ac:dyDescent="0.3">
      <c r="A65" s="19" t="s">
        <v>138</v>
      </c>
      <c r="B65" s="12" t="s">
        <v>139</v>
      </c>
      <c r="C65" s="11" t="s">
        <v>100</v>
      </c>
      <c r="D65" s="12">
        <v>2</v>
      </c>
      <c r="E65" s="13"/>
      <c r="F65" s="16"/>
    </row>
    <row r="66" spans="1:6" x14ac:dyDescent="0.3">
      <c r="A66" s="19" t="s">
        <v>140</v>
      </c>
      <c r="B66" s="12" t="s">
        <v>141</v>
      </c>
      <c r="C66" s="11" t="s">
        <v>100</v>
      </c>
      <c r="D66" s="12">
        <v>4</v>
      </c>
      <c r="E66" s="13"/>
      <c r="F66" s="16"/>
    </row>
    <row r="67" spans="1:6" x14ac:dyDescent="0.3">
      <c r="A67" s="19" t="s">
        <v>142</v>
      </c>
      <c r="B67" s="12" t="s">
        <v>143</v>
      </c>
      <c r="C67" s="11" t="s">
        <v>100</v>
      </c>
      <c r="D67" s="15">
        <v>1</v>
      </c>
      <c r="E67" s="13"/>
      <c r="F67" s="16"/>
    </row>
    <row r="68" spans="1:6" x14ac:dyDescent="0.3">
      <c r="A68" s="19" t="s">
        <v>144</v>
      </c>
      <c r="B68" s="12" t="s">
        <v>145</v>
      </c>
      <c r="C68" s="11" t="s">
        <v>100</v>
      </c>
      <c r="D68" s="15">
        <v>4</v>
      </c>
      <c r="E68" s="13"/>
      <c r="F68" s="16"/>
    </row>
    <row r="69" spans="1:6" ht="27.6" x14ac:dyDescent="0.3">
      <c r="A69" s="19" t="s">
        <v>146</v>
      </c>
      <c r="B69" s="18" t="s">
        <v>147</v>
      </c>
      <c r="C69" s="11" t="s">
        <v>100</v>
      </c>
      <c r="D69" s="15">
        <v>3</v>
      </c>
      <c r="E69" s="13"/>
      <c r="F69" s="16"/>
    </row>
    <row r="70" spans="1:6" x14ac:dyDescent="0.3">
      <c r="A70" s="19" t="s">
        <v>148</v>
      </c>
      <c r="B70" s="12" t="s">
        <v>149</v>
      </c>
      <c r="C70" s="11" t="s">
        <v>100</v>
      </c>
      <c r="D70" s="15">
        <v>1</v>
      </c>
      <c r="E70" s="13"/>
      <c r="F70" s="16"/>
    </row>
    <row r="71" spans="1:6" ht="15" thickBot="1" x14ac:dyDescent="0.35">
      <c r="A71" s="19"/>
      <c r="B71" s="10" t="s">
        <v>150</v>
      </c>
      <c r="C71" s="12"/>
      <c r="D71" s="12"/>
      <c r="E71" s="13"/>
      <c r="F71" s="17"/>
    </row>
    <row r="72" spans="1:6" ht="15" thickBot="1" x14ac:dyDescent="0.35">
      <c r="A72" s="144" t="s">
        <v>151</v>
      </c>
      <c r="B72" s="145"/>
      <c r="C72" s="145"/>
      <c r="D72" s="145"/>
      <c r="E72" s="145"/>
      <c r="F72" s="25"/>
    </row>
    <row r="73" spans="1:6" ht="15" thickBot="1" x14ac:dyDescent="0.35">
      <c r="A73" s="144" t="s">
        <v>152</v>
      </c>
      <c r="B73" s="145"/>
      <c r="C73" s="145"/>
      <c r="D73" s="145"/>
      <c r="E73" s="145"/>
      <c r="F73" s="26"/>
    </row>
  </sheetData>
  <mergeCells count="3">
    <mergeCell ref="A2:F2"/>
    <mergeCell ref="A72:E72"/>
    <mergeCell ref="A73:E73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1BAFE-1F2D-4E4F-B07B-B4112650E47D}">
  <dimension ref="A1:I65"/>
  <sheetViews>
    <sheetView topLeftCell="A55" zoomScale="150" zoomScaleNormal="150" workbookViewId="0">
      <selection activeCell="D4" sqref="D4:E4"/>
    </sheetView>
  </sheetViews>
  <sheetFormatPr baseColWidth="10" defaultColWidth="11.44140625" defaultRowHeight="14.4" x14ac:dyDescent="0.3"/>
  <cols>
    <col min="1" max="1" width="5.5546875" customWidth="1"/>
    <col min="2" max="2" width="43.88671875" customWidth="1"/>
    <col min="3" max="3" width="7.109375" customWidth="1"/>
    <col min="4" max="4" width="12" style="1" customWidth="1"/>
    <col min="5" max="5" width="22.6640625" customWidth="1"/>
  </cols>
  <sheetData>
    <row r="1" spans="1:5" ht="15" thickBot="1" x14ac:dyDescent="0.35"/>
    <row r="2" spans="1:5" ht="15" thickBot="1" x14ac:dyDescent="0.35">
      <c r="A2" s="141" t="s">
        <v>153</v>
      </c>
      <c r="B2" s="142"/>
      <c r="C2" s="142"/>
      <c r="D2" s="142"/>
      <c r="E2" s="143"/>
    </row>
    <row r="3" spans="1:5" x14ac:dyDescent="0.3">
      <c r="A3" s="2"/>
      <c r="B3" s="3"/>
      <c r="C3" s="3"/>
      <c r="D3" s="4"/>
      <c r="E3" s="3"/>
    </row>
    <row r="4" spans="1:5" ht="27.6" x14ac:dyDescent="0.3">
      <c r="A4" s="5" t="s">
        <v>1</v>
      </c>
      <c r="B4" s="6" t="s">
        <v>14</v>
      </c>
      <c r="C4" s="7" t="s">
        <v>15</v>
      </c>
      <c r="D4" s="27" t="s">
        <v>154</v>
      </c>
      <c r="E4" s="27" t="s">
        <v>155</v>
      </c>
    </row>
    <row r="5" spans="1:5" x14ac:dyDescent="0.3">
      <c r="A5" s="9" t="s">
        <v>19</v>
      </c>
      <c r="B5" s="10" t="s">
        <v>20</v>
      </c>
      <c r="C5" s="11"/>
      <c r="D5" s="13"/>
      <c r="E5" s="12"/>
    </row>
    <row r="6" spans="1:5" x14ac:dyDescent="0.3">
      <c r="A6" s="14" t="s">
        <v>21</v>
      </c>
      <c r="B6" s="12" t="s">
        <v>22</v>
      </c>
      <c r="C6" s="11" t="s">
        <v>23</v>
      </c>
      <c r="D6" s="13"/>
      <c r="E6" s="16"/>
    </row>
    <row r="7" spans="1:5" x14ac:dyDescent="0.3">
      <c r="A7" s="14" t="s">
        <v>24</v>
      </c>
      <c r="B7" s="12" t="s">
        <v>25</v>
      </c>
      <c r="C7" s="11" t="s">
        <v>26</v>
      </c>
      <c r="D7" s="13"/>
      <c r="E7" s="16"/>
    </row>
    <row r="8" spans="1:5" x14ac:dyDescent="0.3">
      <c r="A8" s="14" t="s">
        <v>27</v>
      </c>
      <c r="B8" s="12" t="s">
        <v>28</v>
      </c>
      <c r="C8" s="11" t="s">
        <v>26</v>
      </c>
      <c r="D8" s="13"/>
      <c r="E8" s="16"/>
    </row>
    <row r="9" spans="1:5" x14ac:dyDescent="0.3">
      <c r="A9" s="14" t="s">
        <v>29</v>
      </c>
      <c r="B9" s="12" t="s">
        <v>30</v>
      </c>
      <c r="C9" s="11" t="s">
        <v>26</v>
      </c>
      <c r="D9" s="13"/>
      <c r="E9" s="16"/>
    </row>
    <row r="10" spans="1:5" x14ac:dyDescent="0.3">
      <c r="A10" s="9" t="s">
        <v>32</v>
      </c>
      <c r="B10" s="10" t="s">
        <v>33</v>
      </c>
      <c r="C10" s="11"/>
      <c r="D10" s="13"/>
      <c r="E10" s="16"/>
    </row>
    <row r="11" spans="1:5" ht="27.6" x14ac:dyDescent="0.3">
      <c r="A11" s="14" t="s">
        <v>34</v>
      </c>
      <c r="B11" s="18" t="s">
        <v>35</v>
      </c>
      <c r="C11" s="11" t="s">
        <v>26</v>
      </c>
      <c r="D11" s="13"/>
      <c r="E11" s="16"/>
    </row>
    <row r="12" spans="1:5" x14ac:dyDescent="0.3">
      <c r="A12" s="14" t="s">
        <v>36</v>
      </c>
      <c r="B12" s="12" t="s">
        <v>37</v>
      </c>
      <c r="C12" s="11" t="s">
        <v>26</v>
      </c>
      <c r="D12" s="13"/>
      <c r="E12" s="16"/>
    </row>
    <row r="13" spans="1:5" ht="15" customHeight="1" x14ac:dyDescent="0.3">
      <c r="A13" s="14" t="s">
        <v>38</v>
      </c>
      <c r="B13" s="18" t="s">
        <v>39</v>
      </c>
      <c r="C13" s="11" t="s">
        <v>26</v>
      </c>
      <c r="D13" s="13"/>
      <c r="E13" s="16"/>
    </row>
    <row r="14" spans="1:5" x14ac:dyDescent="0.3">
      <c r="A14" s="14" t="s">
        <v>40</v>
      </c>
      <c r="B14" s="12" t="s">
        <v>41</v>
      </c>
      <c r="C14" s="11" t="s">
        <v>26</v>
      </c>
      <c r="D14" s="13"/>
      <c r="E14" s="16"/>
    </row>
    <row r="15" spans="1:5" ht="15.75" customHeight="1" x14ac:dyDescent="0.3">
      <c r="A15" s="14" t="s">
        <v>42</v>
      </c>
      <c r="B15" s="18" t="s">
        <v>43</v>
      </c>
      <c r="C15" s="11" t="s">
        <v>26</v>
      </c>
      <c r="D15" s="13"/>
      <c r="E15" s="16"/>
    </row>
    <row r="16" spans="1:5" ht="27.6" x14ac:dyDescent="0.3">
      <c r="A16" s="14" t="s">
        <v>44</v>
      </c>
      <c r="B16" s="18" t="s">
        <v>45</v>
      </c>
      <c r="C16" s="11" t="s">
        <v>26</v>
      </c>
      <c r="D16" s="13"/>
      <c r="E16" s="16"/>
    </row>
    <row r="17" spans="1:5" x14ac:dyDescent="0.3">
      <c r="A17" s="14" t="s">
        <v>46</v>
      </c>
      <c r="B17" s="12" t="s">
        <v>47</v>
      </c>
      <c r="C17" s="11" t="s">
        <v>26</v>
      </c>
      <c r="D17" s="13"/>
      <c r="E17" s="16"/>
    </row>
    <row r="18" spans="1:5" x14ac:dyDescent="0.3">
      <c r="A18" s="14" t="s">
        <v>48</v>
      </c>
      <c r="B18" s="12" t="s">
        <v>49</v>
      </c>
      <c r="C18" s="11" t="s">
        <v>26</v>
      </c>
      <c r="D18" s="13"/>
      <c r="E18" s="16"/>
    </row>
    <row r="19" spans="1:5" ht="27.6" x14ac:dyDescent="0.3">
      <c r="A19" s="14" t="s">
        <v>50</v>
      </c>
      <c r="B19" s="18" t="s">
        <v>51</v>
      </c>
      <c r="C19" s="11" t="s">
        <v>26</v>
      </c>
      <c r="D19" s="13"/>
      <c r="E19" s="16"/>
    </row>
    <row r="20" spans="1:5" x14ac:dyDescent="0.3">
      <c r="A20" s="14" t="s">
        <v>52</v>
      </c>
      <c r="B20" s="12" t="s">
        <v>53</v>
      </c>
      <c r="C20" s="11" t="s">
        <v>26</v>
      </c>
      <c r="D20" s="13"/>
      <c r="E20" s="16"/>
    </row>
    <row r="21" spans="1:5" ht="27.6" x14ac:dyDescent="0.3">
      <c r="A21" s="14" t="s">
        <v>54</v>
      </c>
      <c r="B21" s="18" t="s">
        <v>55</v>
      </c>
      <c r="C21" s="11" t="s">
        <v>26</v>
      </c>
      <c r="D21" s="13"/>
      <c r="E21" s="16"/>
    </row>
    <row r="22" spans="1:5" x14ac:dyDescent="0.3">
      <c r="A22" s="14" t="s">
        <v>56</v>
      </c>
      <c r="B22" s="18" t="s">
        <v>57</v>
      </c>
      <c r="C22" s="11" t="s">
        <v>26</v>
      </c>
      <c r="D22" s="13"/>
      <c r="E22" s="16"/>
    </row>
    <row r="23" spans="1:5" x14ac:dyDescent="0.3">
      <c r="A23" s="14" t="s">
        <v>58</v>
      </c>
      <c r="B23" s="12" t="s">
        <v>59</v>
      </c>
      <c r="C23" s="11" t="s">
        <v>26</v>
      </c>
      <c r="D23" s="13"/>
      <c r="E23" s="16"/>
    </row>
    <row r="24" spans="1:5" x14ac:dyDescent="0.3">
      <c r="A24" s="14" t="s">
        <v>60</v>
      </c>
      <c r="B24" s="12" t="s">
        <v>61</v>
      </c>
      <c r="C24" s="11" t="s">
        <v>26</v>
      </c>
      <c r="D24" s="13"/>
      <c r="E24" s="16"/>
    </row>
    <row r="25" spans="1:5" ht="15" customHeight="1" x14ac:dyDescent="0.3">
      <c r="A25" s="14" t="s">
        <v>62</v>
      </c>
      <c r="B25" s="18" t="s">
        <v>63</v>
      </c>
      <c r="C25" s="11" t="s">
        <v>23</v>
      </c>
      <c r="D25" s="13"/>
      <c r="E25" s="16"/>
    </row>
    <row r="26" spans="1:5" x14ac:dyDescent="0.3">
      <c r="A26" s="14" t="s">
        <v>64</v>
      </c>
      <c r="B26" s="12" t="s">
        <v>65</v>
      </c>
      <c r="C26" s="11" t="s">
        <v>23</v>
      </c>
      <c r="D26" s="13"/>
      <c r="E26" s="16"/>
    </row>
    <row r="27" spans="1:5" ht="27.6" x14ac:dyDescent="0.3">
      <c r="A27" s="14" t="s">
        <v>66</v>
      </c>
      <c r="B27" s="18" t="s">
        <v>67</v>
      </c>
      <c r="C27" s="11" t="s">
        <v>26</v>
      </c>
      <c r="D27" s="13"/>
      <c r="E27" s="16"/>
    </row>
    <row r="28" spans="1:5" x14ac:dyDescent="0.3">
      <c r="A28" s="20" t="s">
        <v>69</v>
      </c>
      <c r="B28" s="10" t="s">
        <v>70</v>
      </c>
      <c r="C28" s="11"/>
      <c r="D28" s="13"/>
      <c r="E28" s="16"/>
    </row>
    <row r="29" spans="1:5" x14ac:dyDescent="0.3">
      <c r="A29" s="14" t="s">
        <v>71</v>
      </c>
      <c r="B29" s="12" t="s">
        <v>72</v>
      </c>
      <c r="C29" s="11" t="s">
        <v>23</v>
      </c>
      <c r="D29" s="13"/>
      <c r="E29" s="16"/>
    </row>
    <row r="30" spans="1:5" x14ac:dyDescent="0.3">
      <c r="A30" s="14" t="s">
        <v>73</v>
      </c>
      <c r="B30" s="12" t="s">
        <v>74</v>
      </c>
      <c r="C30" s="11" t="s">
        <v>23</v>
      </c>
      <c r="D30" s="13"/>
      <c r="E30" s="16"/>
    </row>
    <row r="31" spans="1:5" ht="27.6" x14ac:dyDescent="0.3">
      <c r="A31" s="14" t="s">
        <v>75</v>
      </c>
      <c r="B31" s="18" t="s">
        <v>76</v>
      </c>
      <c r="C31" s="11" t="s">
        <v>23</v>
      </c>
      <c r="D31" s="13"/>
      <c r="E31" s="16"/>
    </row>
    <row r="32" spans="1:5" x14ac:dyDescent="0.3">
      <c r="A32" s="14" t="s">
        <v>77</v>
      </c>
      <c r="B32" s="12" t="s">
        <v>78</v>
      </c>
      <c r="C32" s="11" t="s">
        <v>23</v>
      </c>
      <c r="D32" s="13"/>
      <c r="E32" s="16"/>
    </row>
    <row r="33" spans="1:9" x14ac:dyDescent="0.3">
      <c r="A33" s="20" t="s">
        <v>80</v>
      </c>
      <c r="B33" s="10" t="s">
        <v>81</v>
      </c>
      <c r="C33" s="11"/>
      <c r="D33" s="13"/>
      <c r="E33" s="16"/>
    </row>
    <row r="34" spans="1:9" x14ac:dyDescent="0.3">
      <c r="A34" s="19" t="s">
        <v>82</v>
      </c>
      <c r="B34" s="18" t="s">
        <v>83</v>
      </c>
      <c r="C34" s="11" t="s">
        <v>84</v>
      </c>
      <c r="D34" s="13"/>
      <c r="E34" s="16"/>
    </row>
    <row r="35" spans="1:9" x14ac:dyDescent="0.3">
      <c r="A35" s="19" t="s">
        <v>85</v>
      </c>
      <c r="B35" s="18" t="s">
        <v>86</v>
      </c>
      <c r="C35" s="11" t="s">
        <v>84</v>
      </c>
      <c r="D35" s="13"/>
      <c r="E35" s="16"/>
    </row>
    <row r="36" spans="1:9" x14ac:dyDescent="0.3">
      <c r="A36" s="19" t="s">
        <v>87</v>
      </c>
      <c r="B36" s="18" t="s">
        <v>88</v>
      </c>
      <c r="C36" s="11" t="s">
        <v>84</v>
      </c>
      <c r="D36" s="13"/>
      <c r="E36" s="16"/>
    </row>
    <row r="37" spans="1:9" ht="27.6" x14ac:dyDescent="0.3">
      <c r="A37" s="19" t="s">
        <v>89</v>
      </c>
      <c r="B37" s="18" t="s">
        <v>90</v>
      </c>
      <c r="C37" s="11" t="s">
        <v>23</v>
      </c>
      <c r="D37" s="13"/>
      <c r="E37" s="16"/>
    </row>
    <row r="38" spans="1:9" x14ac:dyDescent="0.3">
      <c r="A38" s="19" t="s">
        <v>91</v>
      </c>
      <c r="B38" s="12" t="s">
        <v>92</v>
      </c>
      <c r="C38" s="11" t="s">
        <v>23</v>
      </c>
      <c r="D38" s="13"/>
      <c r="E38" s="16"/>
      <c r="I38" s="21"/>
    </row>
    <row r="39" spans="1:9" x14ac:dyDescent="0.3">
      <c r="A39" s="20" t="s">
        <v>96</v>
      </c>
      <c r="B39" s="10" t="s">
        <v>97</v>
      </c>
      <c r="C39" s="11"/>
      <c r="D39" s="13"/>
      <c r="E39" s="16"/>
    </row>
    <row r="40" spans="1:9" ht="41.4" x14ac:dyDescent="0.3">
      <c r="A40" s="14" t="s">
        <v>98</v>
      </c>
      <c r="B40" s="18" t="s">
        <v>99</v>
      </c>
      <c r="C40" s="11" t="s">
        <v>100</v>
      </c>
      <c r="D40" s="13"/>
      <c r="E40" s="16"/>
    </row>
    <row r="41" spans="1:9" ht="41.4" x14ac:dyDescent="0.3">
      <c r="A41" s="14" t="s">
        <v>101</v>
      </c>
      <c r="B41" s="18" t="s">
        <v>102</v>
      </c>
      <c r="C41" s="22" t="s">
        <v>100</v>
      </c>
      <c r="D41" s="13"/>
      <c r="E41" s="16"/>
    </row>
    <row r="42" spans="1:9" ht="27.6" x14ac:dyDescent="0.3">
      <c r="A42" s="14" t="s">
        <v>103</v>
      </c>
      <c r="B42" s="18" t="s">
        <v>104</v>
      </c>
      <c r="C42" s="22" t="s">
        <v>100</v>
      </c>
      <c r="D42" s="13"/>
      <c r="E42" s="16"/>
    </row>
    <row r="43" spans="1:9" ht="27.6" x14ac:dyDescent="0.3">
      <c r="A43" s="14" t="s">
        <v>105</v>
      </c>
      <c r="B43" s="18" t="s">
        <v>106</v>
      </c>
      <c r="C43" s="22" t="s">
        <v>100</v>
      </c>
      <c r="D43" s="13"/>
      <c r="E43" s="16"/>
    </row>
    <row r="44" spans="1:9" x14ac:dyDescent="0.3">
      <c r="A44" s="20" t="s">
        <v>108</v>
      </c>
      <c r="B44" s="10" t="s">
        <v>109</v>
      </c>
      <c r="C44" s="12"/>
      <c r="D44" s="13"/>
      <c r="E44" s="16"/>
    </row>
    <row r="45" spans="1:9" x14ac:dyDescent="0.3">
      <c r="A45" s="23" t="s">
        <v>110</v>
      </c>
      <c r="B45" s="12" t="s">
        <v>111</v>
      </c>
      <c r="C45" s="24" t="s">
        <v>23</v>
      </c>
      <c r="D45" s="13"/>
      <c r="E45" s="16"/>
    </row>
    <row r="46" spans="1:9" x14ac:dyDescent="0.3">
      <c r="A46" s="23" t="s">
        <v>112</v>
      </c>
      <c r="B46" s="12" t="s">
        <v>113</v>
      </c>
      <c r="C46" s="24" t="s">
        <v>23</v>
      </c>
      <c r="D46" s="13"/>
      <c r="E46" s="16"/>
    </row>
    <row r="47" spans="1:9" x14ac:dyDescent="0.3">
      <c r="A47" s="23" t="s">
        <v>114</v>
      </c>
      <c r="B47" s="12" t="s">
        <v>115</v>
      </c>
      <c r="C47" s="24" t="s">
        <v>23</v>
      </c>
      <c r="D47" s="13"/>
      <c r="E47" s="16"/>
    </row>
    <row r="48" spans="1:9" x14ac:dyDescent="0.3">
      <c r="A48" s="20" t="s">
        <v>117</v>
      </c>
      <c r="B48" s="10" t="s">
        <v>118</v>
      </c>
      <c r="C48" s="12"/>
      <c r="D48" s="13"/>
      <c r="E48" s="17"/>
    </row>
    <row r="49" spans="1:5" ht="41.4" x14ac:dyDescent="0.3">
      <c r="A49" s="19" t="s">
        <v>119</v>
      </c>
      <c r="B49" s="18" t="s">
        <v>120</v>
      </c>
      <c r="C49" s="11" t="s">
        <v>121</v>
      </c>
      <c r="D49" s="13"/>
      <c r="E49" s="16"/>
    </row>
    <row r="50" spans="1:5" ht="27.6" x14ac:dyDescent="0.3">
      <c r="A50" s="19" t="s">
        <v>122</v>
      </c>
      <c r="B50" s="18" t="s">
        <v>123</v>
      </c>
      <c r="C50" s="11" t="s">
        <v>121</v>
      </c>
      <c r="D50" s="13"/>
      <c r="E50" s="16"/>
    </row>
    <row r="51" spans="1:5" x14ac:dyDescent="0.3">
      <c r="A51" s="19" t="s">
        <v>124</v>
      </c>
      <c r="B51" s="12" t="s">
        <v>125</v>
      </c>
      <c r="C51" s="12" t="s">
        <v>126</v>
      </c>
      <c r="D51" s="13"/>
      <c r="E51" s="16"/>
    </row>
    <row r="52" spans="1:5" x14ac:dyDescent="0.3">
      <c r="A52" s="19" t="s">
        <v>127</v>
      </c>
      <c r="B52" s="12" t="s">
        <v>128</v>
      </c>
      <c r="C52" s="12" t="s">
        <v>126</v>
      </c>
      <c r="D52" s="13"/>
      <c r="E52" s="16"/>
    </row>
    <row r="53" spans="1:5" x14ac:dyDescent="0.3">
      <c r="A53" s="20" t="s">
        <v>130</v>
      </c>
      <c r="B53" s="10" t="s">
        <v>131</v>
      </c>
      <c r="C53" s="11"/>
      <c r="D53" s="13"/>
      <c r="E53" s="16"/>
    </row>
    <row r="54" spans="1:5" ht="27.6" x14ac:dyDescent="0.3">
      <c r="A54" s="19" t="s">
        <v>132</v>
      </c>
      <c r="B54" s="18" t="s">
        <v>133</v>
      </c>
      <c r="C54" s="11" t="s">
        <v>121</v>
      </c>
      <c r="D54" s="13"/>
      <c r="E54" s="16"/>
    </row>
    <row r="55" spans="1:5" x14ac:dyDescent="0.3">
      <c r="A55" s="19" t="s">
        <v>134</v>
      </c>
      <c r="B55" s="12" t="s">
        <v>135</v>
      </c>
      <c r="C55" s="11" t="s">
        <v>121</v>
      </c>
      <c r="D55" s="13"/>
      <c r="E55" s="16"/>
    </row>
    <row r="56" spans="1:5" x14ac:dyDescent="0.3">
      <c r="A56" s="19" t="s">
        <v>136</v>
      </c>
      <c r="B56" s="12" t="s">
        <v>137</v>
      </c>
      <c r="C56" s="11" t="s">
        <v>121</v>
      </c>
      <c r="D56" s="13"/>
      <c r="E56" s="16"/>
    </row>
    <row r="57" spans="1:5" x14ac:dyDescent="0.3">
      <c r="A57" s="19" t="s">
        <v>138</v>
      </c>
      <c r="B57" s="12" t="s">
        <v>139</v>
      </c>
      <c r="C57" s="11" t="s">
        <v>100</v>
      </c>
      <c r="D57" s="13"/>
      <c r="E57" s="16"/>
    </row>
    <row r="58" spans="1:5" x14ac:dyDescent="0.3">
      <c r="A58" s="19" t="s">
        <v>140</v>
      </c>
      <c r="B58" s="12" t="s">
        <v>141</v>
      </c>
      <c r="C58" s="11" t="s">
        <v>100</v>
      </c>
      <c r="D58" s="13"/>
      <c r="E58" s="16"/>
    </row>
    <row r="59" spans="1:5" x14ac:dyDescent="0.3">
      <c r="A59" s="19" t="s">
        <v>142</v>
      </c>
      <c r="B59" s="12" t="s">
        <v>143</v>
      </c>
      <c r="C59" s="11" t="s">
        <v>100</v>
      </c>
      <c r="D59" s="13"/>
      <c r="E59" s="16"/>
    </row>
    <row r="60" spans="1:5" x14ac:dyDescent="0.3">
      <c r="A60" s="19" t="s">
        <v>144</v>
      </c>
      <c r="B60" s="12" t="s">
        <v>145</v>
      </c>
      <c r="C60" s="11" t="s">
        <v>100</v>
      </c>
      <c r="D60" s="13"/>
      <c r="E60" s="16"/>
    </row>
    <row r="61" spans="1:5" ht="27.6" x14ac:dyDescent="0.3">
      <c r="A61" s="19" t="s">
        <v>146</v>
      </c>
      <c r="B61" s="18" t="s">
        <v>147</v>
      </c>
      <c r="C61" s="11" t="s">
        <v>100</v>
      </c>
      <c r="D61" s="13"/>
      <c r="E61" s="16"/>
    </row>
    <row r="62" spans="1:5" x14ac:dyDescent="0.3">
      <c r="A62" s="19" t="s">
        <v>148</v>
      </c>
      <c r="B62" s="12" t="s">
        <v>149</v>
      </c>
      <c r="C62" s="11" t="s">
        <v>100</v>
      </c>
      <c r="D62" s="13"/>
      <c r="E62" s="16"/>
    </row>
    <row r="63" spans="1:5" ht="15" thickBot="1" x14ac:dyDescent="0.35">
      <c r="A63" s="19"/>
      <c r="B63" s="10"/>
      <c r="C63" s="12"/>
      <c r="D63" s="13"/>
      <c r="E63" s="17"/>
    </row>
    <row r="64" spans="1:5" ht="15" thickBot="1" x14ac:dyDescent="0.35">
      <c r="A64" s="144"/>
      <c r="B64" s="145"/>
      <c r="C64" s="145"/>
      <c r="D64" s="145"/>
      <c r="E64" s="25"/>
    </row>
    <row r="65" spans="1:5" ht="15" thickBot="1" x14ac:dyDescent="0.35">
      <c r="A65" s="144"/>
      <c r="B65" s="145"/>
      <c r="C65" s="145"/>
      <c r="D65" s="145"/>
      <c r="E65" s="26"/>
    </row>
  </sheetData>
  <mergeCells count="3">
    <mergeCell ref="A2:E2"/>
    <mergeCell ref="A64:D64"/>
    <mergeCell ref="A65:D65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B5967-B0C5-461C-BD7D-1CF30E79967F}">
  <dimension ref="A1:H60"/>
  <sheetViews>
    <sheetView zoomScale="106" zoomScaleNormal="106" workbookViewId="0">
      <selection activeCell="I56" sqref="I56"/>
    </sheetView>
  </sheetViews>
  <sheetFormatPr baseColWidth="10" defaultColWidth="11.44140625" defaultRowHeight="14.4" x14ac:dyDescent="0.3"/>
  <cols>
    <col min="1" max="1" width="5.109375" customWidth="1"/>
    <col min="2" max="2" width="36.33203125" customWidth="1"/>
    <col min="3" max="3" width="5.6640625" customWidth="1"/>
    <col min="4" max="4" width="9.109375" customWidth="1"/>
    <col min="5" max="5" width="10.6640625" style="82" customWidth="1"/>
    <col min="6" max="6" width="11.5546875" customWidth="1"/>
  </cols>
  <sheetData>
    <row r="1" spans="1:6" ht="15.75" customHeight="1" x14ac:dyDescent="0.3">
      <c r="A1" s="146" t="s">
        <v>156</v>
      </c>
      <c r="B1" s="147"/>
      <c r="C1" s="147"/>
      <c r="D1" s="147"/>
      <c r="E1" s="147"/>
      <c r="F1" s="148"/>
    </row>
    <row r="2" spans="1:6" ht="15" thickBot="1" x14ac:dyDescent="0.35">
      <c r="A2" s="28"/>
      <c r="B2" s="3"/>
      <c r="C2" s="3"/>
      <c r="D2" s="3"/>
      <c r="E2" s="29"/>
      <c r="F2" s="3"/>
    </row>
    <row r="3" spans="1:6" ht="15" thickBot="1" x14ac:dyDescent="0.35">
      <c r="A3" s="30" t="s">
        <v>1</v>
      </c>
      <c r="B3" s="31" t="s">
        <v>14</v>
      </c>
      <c r="C3" s="32" t="s">
        <v>15</v>
      </c>
      <c r="D3" s="32" t="s">
        <v>16</v>
      </c>
      <c r="E3" s="33" t="s">
        <v>17</v>
      </c>
      <c r="F3" s="34" t="s">
        <v>18</v>
      </c>
    </row>
    <row r="4" spans="1:6" x14ac:dyDescent="0.3">
      <c r="A4" s="35" t="s">
        <v>19</v>
      </c>
      <c r="B4" s="36" t="s">
        <v>20</v>
      </c>
      <c r="C4" s="37"/>
      <c r="D4" s="38"/>
      <c r="E4" s="39"/>
      <c r="F4" s="38"/>
    </row>
    <row r="5" spans="1:6" x14ac:dyDescent="0.3">
      <c r="A5" s="40">
        <v>1</v>
      </c>
      <c r="B5" s="12" t="s">
        <v>22</v>
      </c>
      <c r="C5" s="11" t="s">
        <v>23</v>
      </c>
      <c r="D5" s="15">
        <f>12*12</f>
        <v>144</v>
      </c>
      <c r="E5" s="41"/>
      <c r="F5" s="16"/>
    </row>
    <row r="6" spans="1:6" x14ac:dyDescent="0.3">
      <c r="A6" s="40">
        <v>2</v>
      </c>
      <c r="B6" s="12" t="s">
        <v>157</v>
      </c>
      <c r="C6" s="11" t="s">
        <v>26</v>
      </c>
      <c r="D6" s="15">
        <f>0.5*0.85*69</f>
        <v>29.324999999999999</v>
      </c>
      <c r="E6" s="41"/>
      <c r="F6" s="16"/>
    </row>
    <row r="7" spans="1:6" x14ac:dyDescent="0.3">
      <c r="A7" s="40">
        <v>3</v>
      </c>
      <c r="B7" s="42" t="s">
        <v>28</v>
      </c>
      <c r="C7" s="11" t="s">
        <v>26</v>
      </c>
      <c r="D7" s="15">
        <f>0.3*0.6*69</f>
        <v>12.42</v>
      </c>
      <c r="E7" s="41"/>
      <c r="F7" s="16"/>
    </row>
    <row r="8" spans="1:6" ht="27.6" x14ac:dyDescent="0.3">
      <c r="A8" s="40">
        <v>4</v>
      </c>
      <c r="B8" s="18" t="s">
        <v>30</v>
      </c>
      <c r="C8" s="11" t="s">
        <v>26</v>
      </c>
      <c r="D8" s="15">
        <f>(2.5*6+5*6+2.5*3*2+0.75*3+1.2*3)*0.25</f>
        <v>16.462499999999999</v>
      </c>
      <c r="E8" s="41"/>
      <c r="F8" s="16"/>
    </row>
    <row r="9" spans="1:6" ht="15" thickBot="1" x14ac:dyDescent="0.35">
      <c r="A9" s="43"/>
      <c r="B9" s="44" t="s">
        <v>31</v>
      </c>
      <c r="C9" s="45"/>
      <c r="D9" s="46"/>
      <c r="E9" s="47"/>
      <c r="F9" s="48"/>
    </row>
    <row r="10" spans="1:6" ht="15" thickBot="1" x14ac:dyDescent="0.35">
      <c r="A10" s="49" t="s">
        <v>32</v>
      </c>
      <c r="B10" s="50" t="s">
        <v>158</v>
      </c>
      <c r="C10" s="51"/>
      <c r="D10" s="52"/>
      <c r="E10" s="53"/>
      <c r="F10" s="54"/>
    </row>
    <row r="11" spans="1:6" ht="27.6" x14ac:dyDescent="0.3">
      <c r="A11" s="55">
        <v>1</v>
      </c>
      <c r="B11" s="42" t="s">
        <v>35</v>
      </c>
      <c r="C11" s="37" t="s">
        <v>26</v>
      </c>
      <c r="D11" s="56">
        <f>0.05*0.5*69</f>
        <v>1.7250000000000001</v>
      </c>
      <c r="E11" s="39"/>
      <c r="F11" s="57"/>
    </row>
    <row r="12" spans="1:6" ht="27.6" x14ac:dyDescent="0.3">
      <c r="A12" s="40">
        <v>2</v>
      </c>
      <c r="B12" s="18" t="s">
        <v>37</v>
      </c>
      <c r="C12" s="11" t="s">
        <v>26</v>
      </c>
      <c r="D12" s="15">
        <f>0.2*0.5*69</f>
        <v>6.9</v>
      </c>
      <c r="E12" s="41"/>
      <c r="F12" s="16"/>
    </row>
    <row r="13" spans="1:6" ht="27.6" x14ac:dyDescent="0.3">
      <c r="A13" s="40">
        <v>3</v>
      </c>
      <c r="B13" s="18" t="s">
        <v>159</v>
      </c>
      <c r="C13" s="11" t="s">
        <v>26</v>
      </c>
      <c r="D13" s="15">
        <f>18*0.2*0.2*1.05</f>
        <v>0.75600000000000012</v>
      </c>
      <c r="E13" s="41"/>
      <c r="F13" s="16"/>
    </row>
    <row r="14" spans="1:6" ht="27.6" x14ac:dyDescent="0.3">
      <c r="A14" s="40">
        <v>4</v>
      </c>
      <c r="B14" s="18" t="s">
        <v>41</v>
      </c>
      <c r="C14" s="11" t="s">
        <v>26</v>
      </c>
      <c r="D14" s="15">
        <f>0.2*0.2*69</f>
        <v>2.7600000000000007</v>
      </c>
      <c r="E14" s="41"/>
      <c r="F14" s="16"/>
    </row>
    <row r="15" spans="1:6" ht="27.6" x14ac:dyDescent="0.3">
      <c r="A15" s="40">
        <v>5</v>
      </c>
      <c r="B15" s="18" t="s">
        <v>160</v>
      </c>
      <c r="C15" s="11" t="s">
        <v>26</v>
      </c>
      <c r="D15" s="15">
        <f>(2.5*6*0.1+5*6*0.1+2.5*3*0.1*2+0.75*3*0.1+3*3*0.1+1.2*3*0.1)</f>
        <v>7.4850000000000003</v>
      </c>
      <c r="E15" s="41"/>
      <c r="F15" s="16"/>
    </row>
    <row r="16" spans="1:6" ht="27.6" x14ac:dyDescent="0.3">
      <c r="A16" s="40">
        <v>6</v>
      </c>
      <c r="B16" s="18" t="s">
        <v>161</v>
      </c>
      <c r="C16" s="11" t="s">
        <v>26</v>
      </c>
      <c r="D16" s="58">
        <f>18*0.15*0.15*4</f>
        <v>1.6199999999999999</v>
      </c>
      <c r="E16" s="41"/>
      <c r="F16" s="16"/>
    </row>
    <row r="17" spans="1:6" ht="27.6" x14ac:dyDescent="0.3">
      <c r="A17" s="40">
        <v>7</v>
      </c>
      <c r="B17" s="18" t="s">
        <v>49</v>
      </c>
      <c r="C17" s="11" t="s">
        <v>26</v>
      </c>
      <c r="D17" s="15">
        <f>69*0.15*0.2</f>
        <v>2.0699999999999998</v>
      </c>
      <c r="E17" s="41"/>
      <c r="F17" s="16"/>
    </row>
    <row r="18" spans="1:6" x14ac:dyDescent="0.3">
      <c r="A18" s="40">
        <v>8</v>
      </c>
      <c r="B18" s="18" t="s">
        <v>162</v>
      </c>
      <c r="C18" s="11" t="s">
        <v>100</v>
      </c>
      <c r="D18" s="58">
        <v>14</v>
      </c>
      <c r="E18" s="41"/>
      <c r="F18" s="16"/>
    </row>
    <row r="19" spans="1:6" x14ac:dyDescent="0.3">
      <c r="A19" s="40">
        <v>9</v>
      </c>
      <c r="B19" s="18" t="s">
        <v>163</v>
      </c>
      <c r="C19" s="11" t="s">
        <v>26</v>
      </c>
      <c r="D19" s="15">
        <f>49.4*0.15*0.2</f>
        <v>1.482</v>
      </c>
      <c r="E19" s="41"/>
      <c r="F19" s="16"/>
    </row>
    <row r="20" spans="1:6" x14ac:dyDescent="0.3">
      <c r="A20" s="40">
        <v>11</v>
      </c>
      <c r="B20" s="12" t="s">
        <v>164</v>
      </c>
      <c r="C20" s="11" t="s">
        <v>26</v>
      </c>
      <c r="D20" s="15">
        <f>(0.6*0.1*2.5)*2+(0.6*0.1*1.2)+(0.15*0.3*2.5)*4</f>
        <v>0.82199999999999995</v>
      </c>
      <c r="E20" s="41"/>
      <c r="F20" s="16"/>
    </row>
    <row r="21" spans="1:6" ht="27.6" x14ac:dyDescent="0.3">
      <c r="A21" s="40">
        <v>13</v>
      </c>
      <c r="B21" s="18" t="s">
        <v>63</v>
      </c>
      <c r="C21" s="11" t="s">
        <v>23</v>
      </c>
      <c r="D21" s="15">
        <f>69*0.85</f>
        <v>58.65</v>
      </c>
      <c r="E21" s="41"/>
      <c r="F21" s="16"/>
    </row>
    <row r="22" spans="1:6" ht="27.6" x14ac:dyDescent="0.3">
      <c r="A22" s="40">
        <v>14</v>
      </c>
      <c r="B22" s="18" t="s">
        <v>65</v>
      </c>
      <c r="C22" s="11" t="s">
        <v>23</v>
      </c>
      <c r="D22" s="15">
        <f>53.4*4+11*1.2+11*1</f>
        <v>237.79999999999998</v>
      </c>
      <c r="E22" s="41"/>
      <c r="F22" s="16"/>
    </row>
    <row r="23" spans="1:6" ht="15" thickBot="1" x14ac:dyDescent="0.35">
      <c r="A23" s="59"/>
      <c r="B23" s="60" t="s">
        <v>165</v>
      </c>
      <c r="C23" s="61" t="s">
        <v>26</v>
      </c>
      <c r="D23" s="62">
        <f>(11.1+6.3)*2*0.5*0.3+9*0.5*0.3</f>
        <v>6.5699999999999994</v>
      </c>
      <c r="E23" s="63"/>
      <c r="F23" s="64"/>
    </row>
    <row r="24" spans="1:6" ht="15" thickBot="1" x14ac:dyDescent="0.35">
      <c r="A24" s="65"/>
      <c r="B24" s="50" t="s">
        <v>68</v>
      </c>
      <c r="C24" s="51"/>
      <c r="D24" s="52"/>
      <c r="E24" s="53"/>
      <c r="F24" s="66"/>
    </row>
    <row r="25" spans="1:6" ht="15" thickBot="1" x14ac:dyDescent="0.35">
      <c r="A25" s="49" t="s">
        <v>69</v>
      </c>
      <c r="B25" s="50" t="s">
        <v>166</v>
      </c>
      <c r="C25" s="51"/>
      <c r="D25" s="52"/>
      <c r="E25" s="53"/>
      <c r="F25" s="54"/>
    </row>
    <row r="26" spans="1:6" x14ac:dyDescent="0.3">
      <c r="A26" s="55">
        <v>1</v>
      </c>
      <c r="B26" s="38" t="s">
        <v>167</v>
      </c>
      <c r="C26" s="37" t="s">
        <v>23</v>
      </c>
      <c r="D26">
        <f>34.8*4.45</f>
        <v>154.85999999999999</v>
      </c>
      <c r="E26" s="39"/>
      <c r="F26" s="57"/>
    </row>
    <row r="27" spans="1:6" x14ac:dyDescent="0.3">
      <c r="A27" s="40">
        <v>2</v>
      </c>
      <c r="B27" s="12" t="s">
        <v>74</v>
      </c>
      <c r="C27" s="11" t="s">
        <v>23</v>
      </c>
      <c r="D27" s="58">
        <f>D26</f>
        <v>154.85999999999999</v>
      </c>
      <c r="E27" s="41"/>
      <c r="F27" s="16"/>
    </row>
    <row r="28" spans="1:6" x14ac:dyDescent="0.3">
      <c r="A28" s="40">
        <v>3</v>
      </c>
      <c r="B28" s="18" t="s">
        <v>168</v>
      </c>
      <c r="C28" s="11" t="s">
        <v>23</v>
      </c>
      <c r="D28" s="58">
        <f>51*3.2</f>
        <v>163.20000000000002</v>
      </c>
      <c r="E28" s="41"/>
      <c r="F28" s="16"/>
    </row>
    <row r="29" spans="1:6" x14ac:dyDescent="0.3">
      <c r="A29" s="40">
        <v>4</v>
      </c>
      <c r="B29" s="12" t="s">
        <v>169</v>
      </c>
      <c r="C29" s="11" t="s">
        <v>23</v>
      </c>
      <c r="D29" s="58">
        <f>2.5*6+5*6+2.5*3*2+0.75*3+1.2*3+0.45*2.5*4</f>
        <v>70.349999999999994</v>
      </c>
      <c r="E29" s="41"/>
      <c r="F29" s="16"/>
    </row>
    <row r="30" spans="1:6" ht="28.2" thickBot="1" x14ac:dyDescent="0.35">
      <c r="A30" s="43">
        <v>5</v>
      </c>
      <c r="B30" s="67" t="s">
        <v>170</v>
      </c>
      <c r="C30" s="45" t="s">
        <v>84</v>
      </c>
      <c r="D30" s="68">
        <v>68.5</v>
      </c>
      <c r="E30" s="47"/>
      <c r="F30" s="69"/>
    </row>
    <row r="31" spans="1:6" ht="15" thickBot="1" x14ac:dyDescent="0.35">
      <c r="A31" s="65"/>
      <c r="B31" s="50" t="s">
        <v>79</v>
      </c>
      <c r="C31" s="51"/>
      <c r="D31" s="70"/>
      <c r="E31" s="53"/>
      <c r="F31" s="66"/>
    </row>
    <row r="32" spans="1:6" ht="15" thickBot="1" x14ac:dyDescent="0.35">
      <c r="A32" s="49" t="s">
        <v>80</v>
      </c>
      <c r="B32" s="50" t="s">
        <v>171</v>
      </c>
      <c r="C32" s="51"/>
      <c r="D32" s="52"/>
      <c r="E32" s="53"/>
      <c r="F32" s="54"/>
    </row>
    <row r="33" spans="1:6" x14ac:dyDescent="0.3">
      <c r="A33" s="35"/>
      <c r="B33" s="38" t="s">
        <v>172</v>
      </c>
      <c r="C33" s="37" t="s">
        <v>84</v>
      </c>
      <c r="D33" s="38">
        <f>9*11.1</f>
        <v>99.899999999999991</v>
      </c>
      <c r="E33" s="39"/>
      <c r="F33" s="57"/>
    </row>
    <row r="34" spans="1:6" x14ac:dyDescent="0.3">
      <c r="A34" s="71"/>
      <c r="B34" s="12" t="s">
        <v>173</v>
      </c>
      <c r="C34" s="11" t="s">
        <v>84</v>
      </c>
      <c r="D34" s="12">
        <f>5*3.3</f>
        <v>16.5</v>
      </c>
      <c r="E34" s="41"/>
      <c r="F34" s="16"/>
    </row>
    <row r="35" spans="1:6" x14ac:dyDescent="0.3">
      <c r="A35" s="40">
        <v>6</v>
      </c>
      <c r="B35" s="18" t="s">
        <v>174</v>
      </c>
      <c r="C35" s="11" t="s">
        <v>84</v>
      </c>
      <c r="D35" s="72">
        <f>D33+D34</f>
        <v>116.39999999999999</v>
      </c>
      <c r="E35" s="41"/>
      <c r="F35" s="16"/>
    </row>
    <row r="36" spans="1:6" ht="41.4" x14ac:dyDescent="0.3">
      <c r="A36" s="40">
        <v>7</v>
      </c>
      <c r="B36" s="18" t="s">
        <v>175</v>
      </c>
      <c r="C36" s="11" t="s">
        <v>23</v>
      </c>
      <c r="D36" s="12">
        <f>11.1*6.5</f>
        <v>72.149999999999991</v>
      </c>
      <c r="E36" s="41"/>
      <c r="F36" s="16"/>
    </row>
    <row r="37" spans="1:6" ht="41.4" x14ac:dyDescent="0.3">
      <c r="A37" s="40">
        <v>8</v>
      </c>
      <c r="B37" s="18" t="s">
        <v>176</v>
      </c>
      <c r="C37" s="11" t="s">
        <v>23</v>
      </c>
      <c r="D37" s="12">
        <f>3.3*3.5</f>
        <v>11.549999999999999</v>
      </c>
      <c r="E37" s="41"/>
      <c r="F37" s="16"/>
    </row>
    <row r="38" spans="1:6" x14ac:dyDescent="0.3">
      <c r="A38" s="40">
        <v>9</v>
      </c>
      <c r="B38" s="12" t="s">
        <v>92</v>
      </c>
      <c r="C38" s="11" t="s">
        <v>23</v>
      </c>
      <c r="D38" s="58">
        <v>0</v>
      </c>
      <c r="E38" s="41"/>
      <c r="F38" s="16"/>
    </row>
    <row r="39" spans="1:6" ht="27.75" customHeight="1" thickBot="1" x14ac:dyDescent="0.35">
      <c r="A39" s="43">
        <v>10</v>
      </c>
      <c r="B39" s="67" t="s">
        <v>177</v>
      </c>
      <c r="C39" s="45" t="s">
        <v>23</v>
      </c>
      <c r="D39" s="68">
        <f>2.5*6+5*6+2.5*3*2</f>
        <v>60</v>
      </c>
      <c r="E39" s="47"/>
      <c r="F39" s="69"/>
    </row>
    <row r="40" spans="1:6" ht="15" thickBot="1" x14ac:dyDescent="0.35">
      <c r="A40" s="65"/>
      <c r="B40" s="50" t="s">
        <v>95</v>
      </c>
      <c r="C40" s="51"/>
      <c r="D40" s="52"/>
      <c r="E40" s="53"/>
      <c r="F40" s="66"/>
    </row>
    <row r="41" spans="1:6" ht="15" thickBot="1" x14ac:dyDescent="0.35">
      <c r="A41" s="49" t="s">
        <v>96</v>
      </c>
      <c r="B41" s="50" t="s">
        <v>97</v>
      </c>
      <c r="C41" s="51"/>
      <c r="D41" s="52"/>
      <c r="E41" s="53"/>
      <c r="F41" s="54"/>
    </row>
    <row r="42" spans="1:6" ht="54" customHeight="1" x14ac:dyDescent="0.3">
      <c r="A42" s="55">
        <v>1</v>
      </c>
      <c r="B42" s="18" t="s">
        <v>178</v>
      </c>
      <c r="C42" s="37" t="s">
        <v>100</v>
      </c>
      <c r="D42" s="56">
        <v>1</v>
      </c>
      <c r="E42" s="39"/>
      <c r="F42" s="57"/>
    </row>
    <row r="43" spans="1:6" ht="54" customHeight="1" x14ac:dyDescent="0.3">
      <c r="A43" s="55"/>
      <c r="B43" s="18" t="s">
        <v>179</v>
      </c>
      <c r="C43" s="37" t="s">
        <v>100</v>
      </c>
      <c r="D43" s="56">
        <v>1</v>
      </c>
      <c r="E43" s="39"/>
      <c r="F43" s="57"/>
    </row>
    <row r="44" spans="1:6" ht="40.5" customHeight="1" x14ac:dyDescent="0.3">
      <c r="A44" s="40">
        <v>2</v>
      </c>
      <c r="B44" s="18" t="s">
        <v>180</v>
      </c>
      <c r="C44" s="11" t="s">
        <v>100</v>
      </c>
      <c r="D44" s="15">
        <v>2</v>
      </c>
      <c r="E44" s="41"/>
      <c r="F44" s="16"/>
    </row>
    <row r="45" spans="1:6" ht="45" customHeight="1" thickBot="1" x14ac:dyDescent="0.35">
      <c r="A45" s="40">
        <v>4</v>
      </c>
      <c r="B45" s="18" t="s">
        <v>181</v>
      </c>
      <c r="C45" s="22" t="s">
        <v>100</v>
      </c>
      <c r="D45" s="15">
        <v>6</v>
      </c>
      <c r="E45" s="41"/>
      <c r="F45" s="16"/>
    </row>
    <row r="46" spans="1:6" ht="15" thickBot="1" x14ac:dyDescent="0.35">
      <c r="A46" s="65"/>
      <c r="B46" s="50" t="s">
        <v>107</v>
      </c>
      <c r="C46" s="51"/>
      <c r="D46" s="52"/>
      <c r="E46" s="53"/>
      <c r="F46" s="66"/>
    </row>
    <row r="47" spans="1:6" ht="15" thickBot="1" x14ac:dyDescent="0.35">
      <c r="A47" s="49" t="s">
        <v>117</v>
      </c>
      <c r="B47" s="50" t="s">
        <v>182</v>
      </c>
      <c r="C47" s="51"/>
      <c r="D47" s="52"/>
      <c r="E47" s="53"/>
      <c r="F47" s="54"/>
    </row>
    <row r="48" spans="1:6" ht="27.6" x14ac:dyDescent="0.3">
      <c r="A48" s="73">
        <v>1</v>
      </c>
      <c r="B48" s="42" t="s">
        <v>183</v>
      </c>
      <c r="C48" s="74" t="s">
        <v>23</v>
      </c>
      <c r="D48" s="75">
        <f>51*3</f>
        <v>153</v>
      </c>
      <c r="E48" s="39"/>
      <c r="F48" s="57"/>
    </row>
    <row r="49" spans="1:8" x14ac:dyDescent="0.3">
      <c r="A49" s="23">
        <v>2</v>
      </c>
      <c r="B49" s="12" t="s">
        <v>184</v>
      </c>
      <c r="C49" s="24" t="s">
        <v>23</v>
      </c>
      <c r="D49" s="58">
        <f>D39</f>
        <v>60</v>
      </c>
      <c r="E49" s="41"/>
      <c r="F49" s="16"/>
    </row>
    <row r="50" spans="1:8" ht="15" thickBot="1" x14ac:dyDescent="0.35">
      <c r="A50" s="23">
        <v>3</v>
      </c>
      <c r="B50" s="42" t="s">
        <v>185</v>
      </c>
      <c r="C50" s="24" t="s">
        <v>23</v>
      </c>
      <c r="D50" s="68">
        <f>(1.5*2.2+1.2*2.2+0.8*2.2*2+0.8*1.2*6)*2</f>
        <v>30.44</v>
      </c>
      <c r="E50" s="47"/>
      <c r="F50" s="69"/>
    </row>
    <row r="51" spans="1:8" ht="15" thickBot="1" x14ac:dyDescent="0.35">
      <c r="A51" s="65"/>
      <c r="B51" s="50" t="s">
        <v>116</v>
      </c>
      <c r="C51" s="52"/>
      <c r="D51" s="52"/>
      <c r="E51" s="53"/>
      <c r="F51" s="66"/>
    </row>
    <row r="52" spans="1:8" ht="15" thickBot="1" x14ac:dyDescent="0.35">
      <c r="A52" s="49" t="s">
        <v>130</v>
      </c>
      <c r="B52" s="50" t="s">
        <v>186</v>
      </c>
      <c r="C52" s="51"/>
      <c r="D52" s="52"/>
      <c r="E52" s="53"/>
      <c r="F52" s="66"/>
    </row>
    <row r="53" spans="1:8" ht="15" thickBot="1" x14ac:dyDescent="0.35">
      <c r="A53" s="65"/>
      <c r="B53" s="50" t="s">
        <v>150</v>
      </c>
      <c r="C53" s="51"/>
      <c r="D53" s="52"/>
      <c r="E53" s="53"/>
      <c r="F53" s="66"/>
    </row>
    <row r="54" spans="1:8" x14ac:dyDescent="0.3">
      <c r="A54" s="76" t="s">
        <v>187</v>
      </c>
      <c r="B54" s="77" t="s">
        <v>131</v>
      </c>
      <c r="C54" s="78"/>
      <c r="D54" s="79"/>
      <c r="E54" s="80"/>
      <c r="F54" s="81"/>
    </row>
    <row r="55" spans="1:8" ht="69" customHeight="1" x14ac:dyDescent="0.3">
      <c r="A55" s="40">
        <v>1</v>
      </c>
      <c r="B55" s="18" t="s">
        <v>188</v>
      </c>
      <c r="C55" s="11" t="s">
        <v>189</v>
      </c>
      <c r="D55" s="12">
        <v>1</v>
      </c>
      <c r="E55" s="41"/>
      <c r="F55" s="16"/>
    </row>
    <row r="56" spans="1:8" ht="27.6" x14ac:dyDescent="0.3">
      <c r="A56" s="43">
        <v>2</v>
      </c>
      <c r="B56" s="18" t="s">
        <v>190</v>
      </c>
      <c r="C56" s="11" t="s">
        <v>100</v>
      </c>
      <c r="D56" s="12">
        <v>5</v>
      </c>
      <c r="E56" s="41"/>
      <c r="F56" s="69"/>
    </row>
    <row r="57" spans="1:8" ht="15" thickBot="1" x14ac:dyDescent="0.35">
      <c r="A57" s="43"/>
      <c r="B57" s="67" t="s">
        <v>191</v>
      </c>
      <c r="C57" s="45"/>
      <c r="D57" s="46">
        <v>1</v>
      </c>
      <c r="E57" s="47"/>
      <c r="F57" s="69"/>
    </row>
    <row r="58" spans="1:8" ht="15" thickBot="1" x14ac:dyDescent="0.35">
      <c r="A58" s="65"/>
      <c r="B58" s="50" t="s">
        <v>192</v>
      </c>
      <c r="C58" s="52"/>
      <c r="D58" s="52"/>
      <c r="E58" s="53"/>
      <c r="F58" s="66"/>
    </row>
    <row r="59" spans="1:8" ht="15" thickBot="1" x14ac:dyDescent="0.35">
      <c r="A59" s="144" t="s">
        <v>193</v>
      </c>
      <c r="B59" s="145"/>
      <c r="C59" s="145"/>
      <c r="D59" s="145"/>
      <c r="E59" s="145"/>
      <c r="F59" s="25"/>
      <c r="H59" s="82"/>
    </row>
    <row r="60" spans="1:8" ht="15" thickBot="1" x14ac:dyDescent="0.35">
      <c r="A60" s="144" t="s">
        <v>194</v>
      </c>
      <c r="B60" s="145"/>
      <c r="C60" s="145"/>
      <c r="D60" s="145"/>
      <c r="E60" s="145"/>
      <c r="F60" s="26"/>
    </row>
  </sheetData>
  <mergeCells count="3">
    <mergeCell ref="A1:F1"/>
    <mergeCell ref="A59:E59"/>
    <mergeCell ref="A60:E6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8F422-5FB3-421E-A65A-97F6AA1D31C5}">
  <dimension ref="A1:H60"/>
  <sheetViews>
    <sheetView zoomScale="106" zoomScaleNormal="106" workbookViewId="0">
      <selection activeCell="E78" sqref="E78"/>
    </sheetView>
  </sheetViews>
  <sheetFormatPr baseColWidth="10" defaultColWidth="11.44140625" defaultRowHeight="14.4" x14ac:dyDescent="0.3"/>
  <cols>
    <col min="1" max="1" width="5.109375" customWidth="1"/>
    <col min="2" max="2" width="43" customWidth="1"/>
    <col min="3" max="3" width="5.6640625" customWidth="1"/>
    <col min="4" max="4" width="9.109375" customWidth="1"/>
    <col min="5" max="5" width="10.6640625" style="82" customWidth="1"/>
    <col min="6" max="6" width="11.5546875" customWidth="1"/>
  </cols>
  <sheetData>
    <row r="1" spans="1:6" ht="15.75" customHeight="1" x14ac:dyDescent="0.3">
      <c r="A1" s="146" t="s">
        <v>156</v>
      </c>
      <c r="B1" s="147"/>
      <c r="C1" s="147"/>
      <c r="D1" s="147"/>
      <c r="E1" s="147"/>
      <c r="F1" s="148"/>
    </row>
    <row r="2" spans="1:6" ht="15" thickBot="1" x14ac:dyDescent="0.35">
      <c r="A2" s="28"/>
      <c r="B2" s="3"/>
      <c r="C2" s="3"/>
      <c r="D2" s="3"/>
      <c r="E2" s="29"/>
      <c r="F2" s="3"/>
    </row>
    <row r="3" spans="1:6" ht="15" thickBot="1" x14ac:dyDescent="0.35">
      <c r="A3" s="30" t="s">
        <v>1</v>
      </c>
      <c r="B3" s="31" t="s">
        <v>14</v>
      </c>
      <c r="C3" s="32" t="s">
        <v>15</v>
      </c>
      <c r="D3" s="32" t="s">
        <v>16</v>
      </c>
      <c r="E3" s="33" t="s">
        <v>17</v>
      </c>
      <c r="F3" s="34" t="s">
        <v>18</v>
      </c>
    </row>
    <row r="4" spans="1:6" x14ac:dyDescent="0.3">
      <c r="A4" s="35" t="s">
        <v>19</v>
      </c>
      <c r="B4" s="36" t="s">
        <v>20</v>
      </c>
      <c r="C4" s="37"/>
      <c r="D4" s="38"/>
      <c r="E4" s="39"/>
      <c r="F4" s="38"/>
    </row>
    <row r="5" spans="1:6" x14ac:dyDescent="0.3">
      <c r="A5" s="40">
        <v>1</v>
      </c>
      <c r="B5" s="12" t="s">
        <v>22</v>
      </c>
      <c r="C5" s="11" t="s">
        <v>23</v>
      </c>
      <c r="D5" s="15">
        <f>12*12</f>
        <v>144</v>
      </c>
      <c r="E5" s="41"/>
      <c r="F5" s="16"/>
    </row>
    <row r="6" spans="1:6" x14ac:dyDescent="0.3">
      <c r="A6" s="40">
        <v>2</v>
      </c>
      <c r="B6" s="12" t="s">
        <v>157</v>
      </c>
      <c r="C6" s="11" t="s">
        <v>26</v>
      </c>
      <c r="D6" s="15">
        <f>0.5*0.85*69</f>
        <v>29.324999999999999</v>
      </c>
      <c r="E6" s="41"/>
      <c r="F6" s="16"/>
    </row>
    <row r="7" spans="1:6" x14ac:dyDescent="0.3">
      <c r="A7" s="40">
        <v>3</v>
      </c>
      <c r="B7" s="42" t="s">
        <v>28</v>
      </c>
      <c r="C7" s="11" t="s">
        <v>26</v>
      </c>
      <c r="D7" s="15">
        <f>0.3*0.6*69</f>
        <v>12.42</v>
      </c>
      <c r="E7" s="41"/>
      <c r="F7" s="16"/>
    </row>
    <row r="8" spans="1:6" x14ac:dyDescent="0.3">
      <c r="A8" s="40">
        <v>4</v>
      </c>
      <c r="B8" s="18" t="s">
        <v>30</v>
      </c>
      <c r="C8" s="11" t="s">
        <v>26</v>
      </c>
      <c r="D8" s="15">
        <f>(2.5*6+5*6+2.5*3*2+0.75*3+1.2*3)*0.25</f>
        <v>16.462499999999999</v>
      </c>
      <c r="E8" s="41"/>
      <c r="F8" s="16"/>
    </row>
    <row r="9" spans="1:6" ht="15" thickBot="1" x14ac:dyDescent="0.35">
      <c r="A9" s="43"/>
      <c r="B9" s="44" t="s">
        <v>31</v>
      </c>
      <c r="C9" s="45"/>
      <c r="D9" s="46"/>
      <c r="E9" s="47"/>
      <c r="F9" s="48"/>
    </row>
    <row r="10" spans="1:6" ht="15" thickBot="1" x14ac:dyDescent="0.35">
      <c r="A10" s="49" t="s">
        <v>32</v>
      </c>
      <c r="B10" s="50" t="s">
        <v>158</v>
      </c>
      <c r="C10" s="51"/>
      <c r="D10" s="52"/>
      <c r="E10" s="53"/>
      <c r="F10" s="54"/>
    </row>
    <row r="11" spans="1:6" ht="27.6" x14ac:dyDescent="0.3">
      <c r="A11" s="55">
        <v>1</v>
      </c>
      <c r="B11" s="42" t="s">
        <v>35</v>
      </c>
      <c r="C11" s="37" t="s">
        <v>26</v>
      </c>
      <c r="D11" s="56">
        <f>0.05*0.5*69</f>
        <v>1.7250000000000001</v>
      </c>
      <c r="E11" s="39"/>
      <c r="F11" s="57"/>
    </row>
    <row r="12" spans="1:6" x14ac:dyDescent="0.3">
      <c r="A12" s="40">
        <v>2</v>
      </c>
      <c r="B12" s="18" t="s">
        <v>37</v>
      </c>
      <c r="C12" s="11" t="s">
        <v>26</v>
      </c>
      <c r="D12" s="15">
        <f>0.2*0.5*69</f>
        <v>6.9</v>
      </c>
      <c r="E12" s="41"/>
      <c r="F12" s="16"/>
    </row>
    <row r="13" spans="1:6" ht="27.6" x14ac:dyDescent="0.3">
      <c r="A13" s="40">
        <v>3</v>
      </c>
      <c r="B13" s="18" t="s">
        <v>159</v>
      </c>
      <c r="C13" s="11" t="s">
        <v>26</v>
      </c>
      <c r="D13" s="15">
        <f>18*0.2*0.2*1.05</f>
        <v>0.75600000000000012</v>
      </c>
      <c r="E13" s="41"/>
      <c r="F13" s="16"/>
    </row>
    <row r="14" spans="1:6" x14ac:dyDescent="0.3">
      <c r="A14" s="40">
        <v>4</v>
      </c>
      <c r="B14" s="18" t="s">
        <v>41</v>
      </c>
      <c r="C14" s="11" t="s">
        <v>26</v>
      </c>
      <c r="D14" s="15">
        <f>0.2*0.2*69</f>
        <v>2.7600000000000007</v>
      </c>
      <c r="E14" s="41"/>
      <c r="F14" s="16"/>
    </row>
    <row r="15" spans="1:6" ht="27.6" x14ac:dyDescent="0.3">
      <c r="A15" s="40">
        <v>5</v>
      </c>
      <c r="B15" s="18" t="s">
        <v>160</v>
      </c>
      <c r="C15" s="11" t="s">
        <v>26</v>
      </c>
      <c r="D15" s="15">
        <f>(2.5*6*0.1+5*6*0.1+2.5*3*0.1*2+0.75*3*0.1+3*3*0.1+1.2*3*0.1)</f>
        <v>7.4850000000000003</v>
      </c>
      <c r="E15" s="41"/>
      <c r="F15" s="16"/>
    </row>
    <row r="16" spans="1:6" ht="27.6" x14ac:dyDescent="0.3">
      <c r="A16" s="40">
        <v>6</v>
      </c>
      <c r="B16" s="18" t="s">
        <v>161</v>
      </c>
      <c r="C16" s="11" t="s">
        <v>26</v>
      </c>
      <c r="D16" s="58">
        <f>18*0.15*0.15*4</f>
        <v>1.6199999999999999</v>
      </c>
      <c r="E16" s="41"/>
      <c r="F16" s="16"/>
    </row>
    <row r="17" spans="1:6" x14ac:dyDescent="0.3">
      <c r="A17" s="40">
        <v>7</v>
      </c>
      <c r="B17" s="18" t="s">
        <v>49</v>
      </c>
      <c r="C17" s="11" t="s">
        <v>26</v>
      </c>
      <c r="D17" s="15">
        <f>69*0.15*0.2</f>
        <v>2.0699999999999998</v>
      </c>
      <c r="E17" s="41"/>
      <c r="F17" s="16"/>
    </row>
    <row r="18" spans="1:6" x14ac:dyDescent="0.3">
      <c r="A18" s="40">
        <v>8</v>
      </c>
      <c r="B18" s="18" t="s">
        <v>162</v>
      </c>
      <c r="C18" s="11" t="s">
        <v>100</v>
      </c>
      <c r="D18" s="58">
        <v>14</v>
      </c>
      <c r="E18" s="41"/>
      <c r="F18" s="16"/>
    </row>
    <row r="19" spans="1:6" x14ac:dyDescent="0.3">
      <c r="A19" s="40">
        <v>9</v>
      </c>
      <c r="B19" s="18" t="s">
        <v>163</v>
      </c>
      <c r="C19" s="11" t="s">
        <v>26</v>
      </c>
      <c r="D19" s="15">
        <f>49.4*0.15*0.2</f>
        <v>1.482</v>
      </c>
      <c r="E19" s="41"/>
      <c r="F19" s="16"/>
    </row>
    <row r="20" spans="1:6" x14ac:dyDescent="0.3">
      <c r="A20" s="40">
        <v>11</v>
      </c>
      <c r="B20" s="12" t="s">
        <v>164</v>
      </c>
      <c r="C20" s="11" t="s">
        <v>26</v>
      </c>
      <c r="D20" s="15">
        <f>(0.6*0.1*2.5)*2+(0.6*0.1*1.2)+(0.15*0.3*2.5)*4</f>
        <v>0.82199999999999995</v>
      </c>
      <c r="E20" s="41"/>
      <c r="F20" s="16"/>
    </row>
    <row r="21" spans="1:6" ht="27.6" x14ac:dyDescent="0.3">
      <c r="A21" s="40">
        <v>13</v>
      </c>
      <c r="B21" s="18" t="s">
        <v>63</v>
      </c>
      <c r="C21" s="11" t="s">
        <v>23</v>
      </c>
      <c r="D21" s="15">
        <f>69*0.85</f>
        <v>58.65</v>
      </c>
      <c r="E21" s="41"/>
      <c r="F21" s="16"/>
    </row>
    <row r="22" spans="1:6" ht="27.6" x14ac:dyDescent="0.3">
      <c r="A22" s="40">
        <v>14</v>
      </c>
      <c r="B22" s="18" t="s">
        <v>65</v>
      </c>
      <c r="C22" s="11" t="s">
        <v>23</v>
      </c>
      <c r="D22" s="15">
        <f>53.4*4+11*1.2+11*1</f>
        <v>237.79999999999998</v>
      </c>
      <c r="E22" s="41"/>
      <c r="F22" s="16"/>
    </row>
    <row r="23" spans="1:6" ht="15" thickBot="1" x14ac:dyDescent="0.35">
      <c r="A23" s="59"/>
      <c r="B23" s="60" t="s">
        <v>165</v>
      </c>
      <c r="C23" s="61" t="s">
        <v>26</v>
      </c>
      <c r="D23" s="62">
        <f>(11.1+6.3)*2*0.5*0.3+9*0.5*0.3</f>
        <v>6.5699999999999994</v>
      </c>
      <c r="E23" s="63"/>
      <c r="F23" s="64"/>
    </row>
    <row r="24" spans="1:6" ht="15" thickBot="1" x14ac:dyDescent="0.35">
      <c r="A24" s="65"/>
      <c r="B24" s="50" t="s">
        <v>68</v>
      </c>
      <c r="C24" s="51"/>
      <c r="D24" s="52"/>
      <c r="E24" s="53"/>
      <c r="F24" s="66"/>
    </row>
    <row r="25" spans="1:6" ht="15" thickBot="1" x14ac:dyDescent="0.35">
      <c r="A25" s="49" t="s">
        <v>69</v>
      </c>
      <c r="B25" s="50" t="s">
        <v>166</v>
      </c>
      <c r="C25" s="51"/>
      <c r="D25" s="52"/>
      <c r="E25" s="53"/>
      <c r="F25" s="54"/>
    </row>
    <row r="26" spans="1:6" x14ac:dyDescent="0.3">
      <c r="A26" s="55">
        <v>1</v>
      </c>
      <c r="B26" s="38" t="s">
        <v>167</v>
      </c>
      <c r="C26" s="37" t="s">
        <v>23</v>
      </c>
      <c r="D26">
        <f>34.8*4.45</f>
        <v>154.85999999999999</v>
      </c>
      <c r="E26" s="39"/>
      <c r="F26" s="57"/>
    </row>
    <row r="27" spans="1:6" x14ac:dyDescent="0.3">
      <c r="A27" s="40">
        <v>2</v>
      </c>
      <c r="B27" s="12" t="s">
        <v>74</v>
      </c>
      <c r="C27" s="11" t="s">
        <v>23</v>
      </c>
      <c r="D27" s="58">
        <f>D26</f>
        <v>154.85999999999999</v>
      </c>
      <c r="E27" s="41"/>
      <c r="F27" s="16"/>
    </row>
    <row r="28" spans="1:6" x14ac:dyDescent="0.3">
      <c r="A28" s="40">
        <v>3</v>
      </c>
      <c r="B28" s="18" t="s">
        <v>168</v>
      </c>
      <c r="C28" s="11" t="s">
        <v>23</v>
      </c>
      <c r="D28" s="58">
        <f>51*3.2</f>
        <v>163.20000000000002</v>
      </c>
      <c r="E28" s="41"/>
      <c r="F28" s="16"/>
    </row>
    <row r="29" spans="1:6" x14ac:dyDescent="0.3">
      <c r="A29" s="40">
        <v>4</v>
      </c>
      <c r="B29" s="12" t="s">
        <v>169</v>
      </c>
      <c r="C29" s="11" t="s">
        <v>23</v>
      </c>
      <c r="D29" s="58">
        <f>2.5*6+5*6+2.5*3*2+0.75*3+1.2*3+0.45*2.5*4</f>
        <v>70.349999999999994</v>
      </c>
      <c r="E29" s="41"/>
      <c r="F29" s="16"/>
    </row>
    <row r="30" spans="1:6" ht="15" thickBot="1" x14ac:dyDescent="0.35">
      <c r="A30" s="43">
        <v>5</v>
      </c>
      <c r="B30" s="67" t="s">
        <v>170</v>
      </c>
      <c r="C30" s="45" t="s">
        <v>84</v>
      </c>
      <c r="D30" s="68">
        <v>68.5</v>
      </c>
      <c r="E30" s="47"/>
      <c r="F30" s="69"/>
    </row>
    <row r="31" spans="1:6" ht="15" thickBot="1" x14ac:dyDescent="0.35">
      <c r="A31" s="65"/>
      <c r="B31" s="50" t="s">
        <v>79</v>
      </c>
      <c r="C31" s="51"/>
      <c r="D31" s="70"/>
      <c r="E31" s="53"/>
      <c r="F31" s="66"/>
    </row>
    <row r="32" spans="1:6" ht="15" thickBot="1" x14ac:dyDescent="0.35">
      <c r="A32" s="49" t="s">
        <v>80</v>
      </c>
      <c r="B32" s="50" t="s">
        <v>171</v>
      </c>
      <c r="C32" s="51"/>
      <c r="D32" s="52"/>
      <c r="E32" s="53"/>
      <c r="F32" s="54"/>
    </row>
    <row r="33" spans="1:6" x14ac:dyDescent="0.3">
      <c r="A33" s="35"/>
      <c r="B33" s="38" t="s">
        <v>172</v>
      </c>
      <c r="C33" s="37" t="s">
        <v>84</v>
      </c>
      <c r="D33" s="38">
        <f>9*11.1</f>
        <v>99.899999999999991</v>
      </c>
      <c r="E33" s="39"/>
      <c r="F33" s="57"/>
    </row>
    <row r="34" spans="1:6" x14ac:dyDescent="0.3">
      <c r="A34" s="71"/>
      <c r="B34" s="12" t="s">
        <v>173</v>
      </c>
      <c r="C34" s="11" t="s">
        <v>84</v>
      </c>
      <c r="D34" s="12">
        <f>5*3.3</f>
        <v>16.5</v>
      </c>
      <c r="E34" s="41"/>
      <c r="F34" s="16"/>
    </row>
    <row r="35" spans="1:6" x14ac:dyDescent="0.3">
      <c r="A35" s="40">
        <v>6</v>
      </c>
      <c r="B35" s="18" t="s">
        <v>174</v>
      </c>
      <c r="C35" s="11" t="s">
        <v>84</v>
      </c>
      <c r="D35" s="72">
        <f>D33+D34</f>
        <v>116.39999999999999</v>
      </c>
      <c r="E35" s="41"/>
      <c r="F35" s="16"/>
    </row>
    <row r="36" spans="1:6" ht="41.4" x14ac:dyDescent="0.3">
      <c r="A36" s="40">
        <v>7</v>
      </c>
      <c r="B36" s="18" t="s">
        <v>175</v>
      </c>
      <c r="C36" s="11" t="s">
        <v>23</v>
      </c>
      <c r="D36" s="12">
        <f>11.1*6.5</f>
        <v>72.149999999999991</v>
      </c>
      <c r="E36" s="41"/>
      <c r="F36" s="16"/>
    </row>
    <row r="37" spans="1:6" ht="27.6" x14ac:dyDescent="0.3">
      <c r="A37" s="40">
        <v>8</v>
      </c>
      <c r="B37" s="18" t="s">
        <v>176</v>
      </c>
      <c r="C37" s="11" t="s">
        <v>23</v>
      </c>
      <c r="D37" s="12">
        <f>3.3*3.5</f>
        <v>11.549999999999999</v>
      </c>
      <c r="E37" s="41"/>
      <c r="F37" s="16"/>
    </row>
    <row r="38" spans="1:6" x14ac:dyDescent="0.3">
      <c r="A38" s="40">
        <v>9</v>
      </c>
      <c r="B38" s="12" t="s">
        <v>92</v>
      </c>
      <c r="C38" s="11" t="s">
        <v>23</v>
      </c>
      <c r="D38" s="58">
        <v>0</v>
      </c>
      <c r="E38" s="41"/>
      <c r="F38" s="16"/>
    </row>
    <row r="39" spans="1:6" ht="27.75" customHeight="1" thickBot="1" x14ac:dyDescent="0.35">
      <c r="A39" s="43">
        <v>10</v>
      </c>
      <c r="B39" s="67" t="s">
        <v>177</v>
      </c>
      <c r="C39" s="45" t="s">
        <v>23</v>
      </c>
      <c r="D39" s="68">
        <f>2.5*6+5*6+2.5*3*2</f>
        <v>60</v>
      </c>
      <c r="E39" s="47"/>
      <c r="F39" s="69"/>
    </row>
    <row r="40" spans="1:6" ht="15" thickBot="1" x14ac:dyDescent="0.35">
      <c r="A40" s="65"/>
      <c r="B40" s="50" t="s">
        <v>95</v>
      </c>
      <c r="C40" s="51"/>
      <c r="D40" s="52"/>
      <c r="E40" s="53"/>
      <c r="F40" s="66"/>
    </row>
    <row r="41" spans="1:6" ht="15" thickBot="1" x14ac:dyDescent="0.35">
      <c r="A41" s="49" t="s">
        <v>96</v>
      </c>
      <c r="B41" s="50" t="s">
        <v>97</v>
      </c>
      <c r="C41" s="51"/>
      <c r="D41" s="52"/>
      <c r="E41" s="53"/>
      <c r="F41" s="54"/>
    </row>
    <row r="42" spans="1:6" ht="41.4" x14ac:dyDescent="0.3">
      <c r="A42" s="55">
        <v>1</v>
      </c>
      <c r="B42" s="18" t="s">
        <v>178</v>
      </c>
      <c r="C42" s="37" t="s">
        <v>100</v>
      </c>
      <c r="D42" s="56">
        <v>1</v>
      </c>
      <c r="E42" s="39"/>
      <c r="F42" s="57"/>
    </row>
    <row r="43" spans="1:6" ht="41.4" x14ac:dyDescent="0.3">
      <c r="A43" s="55"/>
      <c r="B43" s="18" t="s">
        <v>179</v>
      </c>
      <c r="C43" s="37" t="s">
        <v>100</v>
      </c>
      <c r="D43" s="56">
        <v>1</v>
      </c>
      <c r="E43" s="39"/>
      <c r="F43" s="57"/>
    </row>
    <row r="44" spans="1:6" ht="41.4" x14ac:dyDescent="0.3">
      <c r="A44" s="40">
        <v>2</v>
      </c>
      <c r="B44" s="18" t="s">
        <v>180</v>
      </c>
      <c r="C44" s="11" t="s">
        <v>100</v>
      </c>
      <c r="D44" s="15">
        <v>2</v>
      </c>
      <c r="E44" s="41"/>
      <c r="F44" s="16"/>
    </row>
    <row r="45" spans="1:6" ht="45" customHeight="1" thickBot="1" x14ac:dyDescent="0.35">
      <c r="A45" s="40">
        <v>4</v>
      </c>
      <c r="B45" s="18" t="s">
        <v>181</v>
      </c>
      <c r="C45" s="22" t="s">
        <v>100</v>
      </c>
      <c r="D45" s="15">
        <v>6</v>
      </c>
      <c r="E45" s="41"/>
      <c r="F45" s="16"/>
    </row>
    <row r="46" spans="1:6" ht="15" thickBot="1" x14ac:dyDescent="0.35">
      <c r="A46" s="65"/>
      <c r="B46" s="50" t="s">
        <v>107</v>
      </c>
      <c r="C46" s="51"/>
      <c r="D46" s="52"/>
      <c r="E46" s="53"/>
      <c r="F46" s="66"/>
    </row>
    <row r="47" spans="1:6" ht="15" thickBot="1" x14ac:dyDescent="0.35">
      <c r="A47" s="49" t="s">
        <v>117</v>
      </c>
      <c r="B47" s="50" t="s">
        <v>182</v>
      </c>
      <c r="C47" s="51"/>
      <c r="D47" s="52"/>
      <c r="E47" s="53"/>
      <c r="F47" s="54"/>
    </row>
    <row r="48" spans="1:6" ht="27.6" x14ac:dyDescent="0.3">
      <c r="A48" s="73">
        <v>1</v>
      </c>
      <c r="B48" s="42" t="s">
        <v>183</v>
      </c>
      <c r="C48" s="74" t="s">
        <v>23</v>
      </c>
      <c r="D48" s="75">
        <f>51*3</f>
        <v>153</v>
      </c>
      <c r="E48" s="39"/>
      <c r="F48" s="57"/>
    </row>
    <row r="49" spans="1:8" x14ac:dyDescent="0.3">
      <c r="A49" s="23">
        <v>2</v>
      </c>
      <c r="B49" s="12" t="s">
        <v>184</v>
      </c>
      <c r="C49" s="24" t="s">
        <v>23</v>
      </c>
      <c r="D49" s="58">
        <f>D39</f>
        <v>60</v>
      </c>
      <c r="E49" s="41"/>
      <c r="F49" s="16"/>
    </row>
    <row r="50" spans="1:8" ht="15" thickBot="1" x14ac:dyDescent="0.35">
      <c r="A50" s="23">
        <v>3</v>
      </c>
      <c r="B50" s="42" t="s">
        <v>185</v>
      </c>
      <c r="C50" s="24" t="s">
        <v>23</v>
      </c>
      <c r="D50" s="68">
        <f>(1.5*2.2+1.2*2.2+0.8*2.2*2+0.8*1.2*6)*2</f>
        <v>30.44</v>
      </c>
      <c r="E50" s="47"/>
      <c r="F50" s="69"/>
    </row>
    <row r="51" spans="1:8" ht="15" thickBot="1" x14ac:dyDescent="0.35">
      <c r="A51" s="65"/>
      <c r="B51" s="50" t="s">
        <v>116</v>
      </c>
      <c r="C51" s="52"/>
      <c r="D51" s="52"/>
      <c r="E51" s="53"/>
      <c r="F51" s="66"/>
    </row>
    <row r="52" spans="1:8" ht="15" thickBot="1" x14ac:dyDescent="0.35">
      <c r="A52" s="49" t="s">
        <v>130</v>
      </c>
      <c r="B52" s="50" t="s">
        <v>186</v>
      </c>
      <c r="C52" s="51"/>
      <c r="D52" s="52"/>
      <c r="E52" s="53"/>
      <c r="F52" s="66"/>
    </row>
    <row r="53" spans="1:8" ht="15" thickBot="1" x14ac:dyDescent="0.35">
      <c r="A53" s="65"/>
      <c r="B53" s="50" t="s">
        <v>150</v>
      </c>
      <c r="C53" s="51"/>
      <c r="D53" s="52"/>
      <c r="E53" s="53"/>
      <c r="F53" s="66"/>
    </row>
    <row r="54" spans="1:8" x14ac:dyDescent="0.3">
      <c r="A54" s="76" t="s">
        <v>187</v>
      </c>
      <c r="B54" s="77" t="s">
        <v>131</v>
      </c>
      <c r="C54" s="78"/>
      <c r="D54" s="79"/>
      <c r="E54" s="80"/>
      <c r="F54" s="81"/>
    </row>
    <row r="55" spans="1:8" ht="69" customHeight="1" x14ac:dyDescent="0.3">
      <c r="A55" s="40">
        <v>1</v>
      </c>
      <c r="B55" s="18" t="s">
        <v>188</v>
      </c>
      <c r="C55" s="11" t="s">
        <v>189</v>
      </c>
      <c r="D55" s="12">
        <v>1</v>
      </c>
      <c r="E55" s="41"/>
      <c r="F55" s="16"/>
    </row>
    <row r="56" spans="1:8" ht="27.6" x14ac:dyDescent="0.3">
      <c r="A56" s="43">
        <v>2</v>
      </c>
      <c r="B56" s="18" t="s">
        <v>190</v>
      </c>
      <c r="C56" s="11" t="s">
        <v>100</v>
      </c>
      <c r="D56" s="12">
        <v>5</v>
      </c>
      <c r="E56" s="41"/>
      <c r="F56" s="69"/>
    </row>
    <row r="57" spans="1:8" ht="15" thickBot="1" x14ac:dyDescent="0.35">
      <c r="A57" s="43"/>
      <c r="B57" s="67" t="s">
        <v>191</v>
      </c>
      <c r="C57" s="45"/>
      <c r="D57" s="46">
        <v>1</v>
      </c>
      <c r="E57" s="47"/>
      <c r="F57" s="69"/>
    </row>
    <row r="58" spans="1:8" ht="15" thickBot="1" x14ac:dyDescent="0.35">
      <c r="A58" s="65"/>
      <c r="B58" s="50" t="s">
        <v>192</v>
      </c>
      <c r="C58" s="52"/>
      <c r="D58" s="52"/>
      <c r="E58" s="53"/>
      <c r="F58" s="66"/>
    </row>
    <row r="59" spans="1:8" ht="15" thickBot="1" x14ac:dyDescent="0.35">
      <c r="A59" s="144" t="s">
        <v>193</v>
      </c>
      <c r="B59" s="145"/>
      <c r="C59" s="145"/>
      <c r="D59" s="145"/>
      <c r="E59" s="145"/>
      <c r="F59" s="25"/>
      <c r="H59" s="82"/>
    </row>
    <row r="60" spans="1:8" ht="15" thickBot="1" x14ac:dyDescent="0.35">
      <c r="A60" s="144" t="s">
        <v>194</v>
      </c>
      <c r="B60" s="145"/>
      <c r="C60" s="145"/>
      <c r="D60" s="145"/>
      <c r="E60" s="145"/>
      <c r="F60" s="26"/>
    </row>
  </sheetData>
  <mergeCells count="3">
    <mergeCell ref="A1:F1"/>
    <mergeCell ref="A59:E59"/>
    <mergeCell ref="A60:E6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35B0B-4247-4474-8069-7CD9C34A0860}">
  <dimension ref="A1:E50"/>
  <sheetViews>
    <sheetView topLeftCell="A46" zoomScale="106" zoomScaleNormal="106" workbookViewId="0">
      <selection activeCell="D3" sqref="D3:E3"/>
    </sheetView>
  </sheetViews>
  <sheetFormatPr baseColWidth="10" defaultColWidth="11.44140625" defaultRowHeight="14.4" x14ac:dyDescent="0.3"/>
  <cols>
    <col min="1" max="1" width="5.109375" customWidth="1"/>
    <col min="2" max="2" width="49.44140625" customWidth="1"/>
    <col min="3" max="3" width="5.6640625" customWidth="1"/>
    <col min="4" max="4" width="17.44140625" style="82" customWidth="1"/>
    <col min="5" max="5" width="34.88671875" customWidth="1"/>
  </cols>
  <sheetData>
    <row r="1" spans="1:5" ht="15.75" customHeight="1" x14ac:dyDescent="0.3">
      <c r="A1" s="146" t="s">
        <v>156</v>
      </c>
      <c r="B1" s="147"/>
      <c r="C1" s="147"/>
      <c r="D1" s="147"/>
      <c r="E1" s="148"/>
    </row>
    <row r="2" spans="1:5" ht="15" thickBot="1" x14ac:dyDescent="0.35">
      <c r="A2" s="28"/>
      <c r="B2" s="3"/>
      <c r="C2" s="3"/>
      <c r="D2" s="29"/>
      <c r="E2" s="3"/>
    </row>
    <row r="3" spans="1:5" ht="28.2" thickBot="1" x14ac:dyDescent="0.35">
      <c r="A3" s="30" t="s">
        <v>1</v>
      </c>
      <c r="B3" s="31" t="s">
        <v>14</v>
      </c>
      <c r="C3" s="32" t="s">
        <v>15</v>
      </c>
      <c r="D3" s="27" t="s">
        <v>154</v>
      </c>
      <c r="E3" s="27" t="s">
        <v>155</v>
      </c>
    </row>
    <row r="4" spans="1:5" x14ac:dyDescent="0.3">
      <c r="A4" s="35" t="s">
        <v>19</v>
      </c>
      <c r="B4" s="36" t="s">
        <v>20</v>
      </c>
      <c r="C4" s="37"/>
      <c r="D4" s="39"/>
      <c r="E4" s="38"/>
    </row>
    <row r="5" spans="1:5" x14ac:dyDescent="0.3">
      <c r="A5" s="40">
        <v>1</v>
      </c>
      <c r="B5" s="12" t="s">
        <v>22</v>
      </c>
      <c r="C5" s="11" t="s">
        <v>23</v>
      </c>
      <c r="D5" s="41"/>
      <c r="E5" s="16"/>
    </row>
    <row r="6" spans="1:5" x14ac:dyDescent="0.3">
      <c r="A6" s="40">
        <v>2</v>
      </c>
      <c r="B6" s="12" t="s">
        <v>157</v>
      </c>
      <c r="C6" s="11" t="s">
        <v>26</v>
      </c>
      <c r="D6" s="41"/>
      <c r="E6" s="16"/>
    </row>
    <row r="7" spans="1:5" x14ac:dyDescent="0.3">
      <c r="A7" s="40">
        <v>3</v>
      </c>
      <c r="B7" s="42" t="s">
        <v>28</v>
      </c>
      <c r="C7" s="11" t="s">
        <v>26</v>
      </c>
      <c r="D7" s="41"/>
      <c r="E7" s="16"/>
    </row>
    <row r="8" spans="1:5" ht="15" thickBot="1" x14ac:dyDescent="0.35">
      <c r="A8" s="40">
        <v>4</v>
      </c>
      <c r="B8" s="18" t="s">
        <v>30</v>
      </c>
      <c r="C8" s="11" t="s">
        <v>26</v>
      </c>
      <c r="D8" s="41"/>
      <c r="E8" s="16"/>
    </row>
    <row r="9" spans="1:5" ht="15" thickBot="1" x14ac:dyDescent="0.35">
      <c r="A9" s="49" t="s">
        <v>32</v>
      </c>
      <c r="B9" s="50" t="s">
        <v>158</v>
      </c>
      <c r="C9" s="51"/>
      <c r="D9" s="53"/>
      <c r="E9" s="54"/>
    </row>
    <row r="10" spans="1:5" x14ac:dyDescent="0.3">
      <c r="A10" s="55">
        <v>1</v>
      </c>
      <c r="B10" s="42" t="s">
        <v>35</v>
      </c>
      <c r="C10" s="37" t="s">
        <v>26</v>
      </c>
      <c r="D10" s="39"/>
      <c r="E10" s="57"/>
    </row>
    <row r="11" spans="1:5" x14ac:dyDescent="0.3">
      <c r="A11" s="40">
        <v>2</v>
      </c>
      <c r="B11" s="18" t="s">
        <v>37</v>
      </c>
      <c r="C11" s="11" t="s">
        <v>26</v>
      </c>
      <c r="D11" s="41"/>
      <c r="E11" s="16"/>
    </row>
    <row r="12" spans="1:5" ht="27.6" x14ac:dyDescent="0.3">
      <c r="A12" s="40">
        <v>3</v>
      </c>
      <c r="B12" s="18" t="s">
        <v>159</v>
      </c>
      <c r="C12" s="11" t="s">
        <v>26</v>
      </c>
      <c r="D12" s="41"/>
      <c r="E12" s="16"/>
    </row>
    <row r="13" spans="1:5" x14ac:dyDescent="0.3">
      <c r="A13" s="40">
        <v>4</v>
      </c>
      <c r="B13" s="18" t="s">
        <v>41</v>
      </c>
      <c r="C13" s="11" t="s">
        <v>26</v>
      </c>
      <c r="D13" s="41"/>
      <c r="E13" s="16"/>
    </row>
    <row r="14" spans="1:5" x14ac:dyDescent="0.3">
      <c r="A14" s="40">
        <v>5</v>
      </c>
      <c r="B14" s="18" t="s">
        <v>160</v>
      </c>
      <c r="C14" s="11" t="s">
        <v>26</v>
      </c>
      <c r="D14" s="41"/>
      <c r="E14" s="16"/>
    </row>
    <row r="15" spans="1:5" x14ac:dyDescent="0.3">
      <c r="A15" s="40">
        <v>6</v>
      </c>
      <c r="B15" s="18" t="s">
        <v>161</v>
      </c>
      <c r="C15" s="11" t="s">
        <v>26</v>
      </c>
      <c r="D15" s="41"/>
      <c r="E15" s="16"/>
    </row>
    <row r="16" spans="1:5" x14ac:dyDescent="0.3">
      <c r="A16" s="40">
        <v>7</v>
      </c>
      <c r="B16" s="18" t="s">
        <v>49</v>
      </c>
      <c r="C16" s="11" t="s">
        <v>26</v>
      </c>
      <c r="D16" s="41"/>
      <c r="E16" s="16"/>
    </row>
    <row r="17" spans="1:5" x14ac:dyDescent="0.3">
      <c r="A17" s="40">
        <v>8</v>
      </c>
      <c r="B17" s="18" t="s">
        <v>162</v>
      </c>
      <c r="C17" s="11" t="s">
        <v>100</v>
      </c>
      <c r="D17" s="41"/>
      <c r="E17" s="16"/>
    </row>
    <row r="18" spans="1:5" x14ac:dyDescent="0.3">
      <c r="A18" s="40">
        <v>9</v>
      </c>
      <c r="B18" s="18" t="s">
        <v>163</v>
      </c>
      <c r="C18" s="11" t="s">
        <v>26</v>
      </c>
      <c r="D18" s="41"/>
      <c r="E18" s="16"/>
    </row>
    <row r="19" spans="1:5" x14ac:dyDescent="0.3">
      <c r="A19" s="40">
        <v>11</v>
      </c>
      <c r="B19" s="12" t="s">
        <v>164</v>
      </c>
      <c r="C19" s="11" t="s">
        <v>26</v>
      </c>
      <c r="D19" s="41"/>
      <c r="E19" s="16"/>
    </row>
    <row r="20" spans="1:5" x14ac:dyDescent="0.3">
      <c r="A20" s="40">
        <v>13</v>
      </c>
      <c r="B20" s="18" t="s">
        <v>63</v>
      </c>
      <c r="C20" s="11" t="s">
        <v>23</v>
      </c>
      <c r="D20" s="41"/>
      <c r="E20" s="16"/>
    </row>
    <row r="21" spans="1:5" x14ac:dyDescent="0.3">
      <c r="A21" s="40">
        <v>14</v>
      </c>
      <c r="B21" s="18" t="s">
        <v>65</v>
      </c>
      <c r="C21" s="11" t="s">
        <v>23</v>
      </c>
      <c r="D21" s="41"/>
      <c r="E21" s="16"/>
    </row>
    <row r="22" spans="1:5" ht="15" thickBot="1" x14ac:dyDescent="0.35">
      <c r="A22" s="59"/>
      <c r="B22" s="60" t="s">
        <v>165</v>
      </c>
      <c r="C22" s="61" t="s">
        <v>26</v>
      </c>
      <c r="D22" s="63"/>
      <c r="E22" s="64"/>
    </row>
    <row r="23" spans="1:5" ht="15" thickBot="1" x14ac:dyDescent="0.35">
      <c r="A23" s="49" t="s">
        <v>69</v>
      </c>
      <c r="B23" s="50" t="s">
        <v>166</v>
      </c>
      <c r="C23" s="51"/>
      <c r="D23" s="53"/>
      <c r="E23" s="54"/>
    </row>
    <row r="24" spans="1:5" x14ac:dyDescent="0.3">
      <c r="A24" s="55">
        <v>1</v>
      </c>
      <c r="B24" s="38" t="s">
        <v>167</v>
      </c>
      <c r="C24" s="37" t="s">
        <v>23</v>
      </c>
      <c r="D24" s="39"/>
      <c r="E24" s="57"/>
    </row>
    <row r="25" spans="1:5" x14ac:dyDescent="0.3">
      <c r="A25" s="40">
        <v>2</v>
      </c>
      <c r="B25" s="12" t="s">
        <v>74</v>
      </c>
      <c r="C25" s="11" t="s">
        <v>23</v>
      </c>
      <c r="D25" s="41"/>
      <c r="E25" s="16"/>
    </row>
    <row r="26" spans="1:5" x14ac:dyDescent="0.3">
      <c r="A26" s="40">
        <v>3</v>
      </c>
      <c r="B26" s="18" t="s">
        <v>168</v>
      </c>
      <c r="C26" s="11" t="s">
        <v>23</v>
      </c>
      <c r="D26" s="41"/>
      <c r="E26" s="16"/>
    </row>
    <row r="27" spans="1:5" x14ac:dyDescent="0.3">
      <c r="A27" s="40">
        <v>4</v>
      </c>
      <c r="B27" s="12" t="s">
        <v>169</v>
      </c>
      <c r="C27" s="11" t="s">
        <v>23</v>
      </c>
      <c r="D27" s="41"/>
      <c r="E27" s="16"/>
    </row>
    <row r="28" spans="1:5" ht="15" thickBot="1" x14ac:dyDescent="0.35">
      <c r="A28" s="43">
        <v>5</v>
      </c>
      <c r="B28" s="67" t="s">
        <v>170</v>
      </c>
      <c r="C28" s="45" t="s">
        <v>84</v>
      </c>
      <c r="D28" s="47"/>
      <c r="E28" s="69"/>
    </row>
    <row r="29" spans="1:5" ht="15" thickBot="1" x14ac:dyDescent="0.35">
      <c r="A29" s="49" t="s">
        <v>80</v>
      </c>
      <c r="B29" s="50" t="s">
        <v>171</v>
      </c>
      <c r="C29" s="51"/>
      <c r="D29" s="53"/>
      <c r="E29" s="54"/>
    </row>
    <row r="30" spans="1:5" x14ac:dyDescent="0.3">
      <c r="A30" s="55">
        <v>1</v>
      </c>
      <c r="B30" s="38" t="s">
        <v>172</v>
      </c>
      <c r="C30" s="37" t="s">
        <v>84</v>
      </c>
      <c r="D30" s="39"/>
      <c r="E30" s="57"/>
    </row>
    <row r="31" spans="1:5" x14ac:dyDescent="0.3">
      <c r="A31" s="40">
        <v>2</v>
      </c>
      <c r="B31" s="12" t="s">
        <v>173</v>
      </c>
      <c r="C31" s="11" t="s">
        <v>84</v>
      </c>
      <c r="D31" s="41"/>
      <c r="E31" s="16"/>
    </row>
    <row r="32" spans="1:5" x14ac:dyDescent="0.3">
      <c r="A32" s="40">
        <v>3</v>
      </c>
      <c r="B32" s="18" t="s">
        <v>174</v>
      </c>
      <c r="C32" s="11" t="s">
        <v>84</v>
      </c>
      <c r="D32" s="41"/>
      <c r="E32" s="16"/>
    </row>
    <row r="33" spans="1:5" ht="27.6" x14ac:dyDescent="0.3">
      <c r="A33" s="40">
        <v>4</v>
      </c>
      <c r="B33" s="18" t="s">
        <v>175</v>
      </c>
      <c r="C33" s="11" t="s">
        <v>23</v>
      </c>
      <c r="D33" s="41"/>
      <c r="E33" s="16"/>
    </row>
    <row r="34" spans="1:5" ht="27.6" x14ac:dyDescent="0.3">
      <c r="A34" s="40">
        <v>5</v>
      </c>
      <c r="B34" s="18" t="s">
        <v>176</v>
      </c>
      <c r="C34" s="11" t="s">
        <v>23</v>
      </c>
      <c r="D34" s="41"/>
      <c r="E34" s="16"/>
    </row>
    <row r="35" spans="1:5" x14ac:dyDescent="0.3">
      <c r="A35" s="40">
        <v>6</v>
      </c>
      <c r="B35" s="12" t="s">
        <v>92</v>
      </c>
      <c r="C35" s="11" t="s">
        <v>23</v>
      </c>
      <c r="D35" s="41"/>
      <c r="E35" s="16"/>
    </row>
    <row r="36" spans="1:5" ht="27.75" customHeight="1" thickBot="1" x14ac:dyDescent="0.35">
      <c r="A36" s="43">
        <v>7</v>
      </c>
      <c r="B36" s="67" t="s">
        <v>177</v>
      </c>
      <c r="C36" s="45" t="s">
        <v>23</v>
      </c>
      <c r="D36" s="47"/>
      <c r="E36" s="69"/>
    </row>
    <row r="37" spans="1:5" ht="15" thickBot="1" x14ac:dyDescent="0.35">
      <c r="A37" s="49" t="s">
        <v>96</v>
      </c>
      <c r="B37" s="50" t="s">
        <v>97</v>
      </c>
      <c r="C37" s="51"/>
      <c r="D37" s="53"/>
      <c r="E37" s="54"/>
    </row>
    <row r="38" spans="1:5" ht="41.4" x14ac:dyDescent="0.3">
      <c r="A38" s="55">
        <v>1</v>
      </c>
      <c r="B38" s="18" t="s">
        <v>178</v>
      </c>
      <c r="C38" s="37" t="s">
        <v>100</v>
      </c>
      <c r="D38" s="39"/>
      <c r="E38" s="57"/>
    </row>
    <row r="39" spans="1:5" ht="41.4" x14ac:dyDescent="0.3">
      <c r="A39" s="55">
        <v>2</v>
      </c>
      <c r="B39" s="18" t="s">
        <v>179</v>
      </c>
      <c r="C39" s="37" t="s">
        <v>100</v>
      </c>
      <c r="D39" s="39"/>
      <c r="E39" s="57"/>
    </row>
    <row r="40" spans="1:5" ht="27.6" x14ac:dyDescent="0.3">
      <c r="A40" s="40">
        <v>3</v>
      </c>
      <c r="B40" s="18" t="s">
        <v>180</v>
      </c>
      <c r="C40" s="11" t="s">
        <v>100</v>
      </c>
      <c r="D40" s="41"/>
      <c r="E40" s="16"/>
    </row>
    <row r="41" spans="1:5" ht="45" customHeight="1" thickBot="1" x14ac:dyDescent="0.35">
      <c r="A41" s="40">
        <v>4</v>
      </c>
      <c r="B41" s="18" t="s">
        <v>181</v>
      </c>
      <c r="C41" s="22" t="s">
        <v>100</v>
      </c>
      <c r="D41" s="41"/>
      <c r="E41" s="16"/>
    </row>
    <row r="42" spans="1:5" ht="15" thickBot="1" x14ac:dyDescent="0.35">
      <c r="A42" s="49" t="s">
        <v>117</v>
      </c>
      <c r="B42" s="50" t="s">
        <v>182</v>
      </c>
      <c r="C42" s="51"/>
      <c r="D42" s="53"/>
      <c r="E42" s="54"/>
    </row>
    <row r="43" spans="1:5" x14ac:dyDescent="0.3">
      <c r="A43" s="73">
        <v>1</v>
      </c>
      <c r="B43" s="42" t="s">
        <v>183</v>
      </c>
      <c r="C43" s="74" t="s">
        <v>23</v>
      </c>
      <c r="D43" s="39"/>
      <c r="E43" s="57"/>
    </row>
    <row r="44" spans="1:5" x14ac:dyDescent="0.3">
      <c r="A44" s="23">
        <v>2</v>
      </c>
      <c r="B44" s="12" t="s">
        <v>184</v>
      </c>
      <c r="C44" s="24" t="s">
        <v>23</v>
      </c>
      <c r="D44" s="41"/>
      <c r="E44" s="16"/>
    </row>
    <row r="45" spans="1:5" ht="15" thickBot="1" x14ac:dyDescent="0.35">
      <c r="A45" s="23">
        <v>3</v>
      </c>
      <c r="B45" s="42" t="s">
        <v>185</v>
      </c>
      <c r="C45" s="24" t="s">
        <v>23</v>
      </c>
      <c r="D45" s="47"/>
      <c r="E45" s="69"/>
    </row>
    <row r="46" spans="1:5" ht="15" thickBot="1" x14ac:dyDescent="0.35">
      <c r="A46" s="49" t="s">
        <v>130</v>
      </c>
      <c r="B46" s="50" t="s">
        <v>186</v>
      </c>
      <c r="C46" s="51"/>
      <c r="D46" s="53"/>
      <c r="E46" s="66"/>
    </row>
    <row r="47" spans="1:5" x14ac:dyDescent="0.3">
      <c r="A47" s="76" t="s">
        <v>187</v>
      </c>
      <c r="B47" s="77" t="s">
        <v>131</v>
      </c>
      <c r="C47" s="78"/>
      <c r="D47" s="80"/>
      <c r="E47" s="81"/>
    </row>
    <row r="48" spans="1:5" ht="41.4" x14ac:dyDescent="0.3">
      <c r="A48" s="40">
        <v>1</v>
      </c>
      <c r="B48" s="18" t="s">
        <v>188</v>
      </c>
      <c r="C48" s="11" t="s">
        <v>189</v>
      </c>
      <c r="D48" s="41"/>
      <c r="E48" s="16"/>
    </row>
    <row r="49" spans="1:5" ht="27.6" x14ac:dyDescent="0.3">
      <c r="A49" s="43">
        <v>2</v>
      </c>
      <c r="B49" s="18" t="s">
        <v>190</v>
      </c>
      <c r="C49" s="11" t="s">
        <v>100</v>
      </c>
      <c r="D49" s="41"/>
      <c r="E49" s="69"/>
    </row>
    <row r="50" spans="1:5" x14ac:dyDescent="0.3">
      <c r="A50" s="40">
        <v>3</v>
      </c>
      <c r="B50" s="18" t="s">
        <v>191</v>
      </c>
      <c r="C50" s="11"/>
      <c r="D50" s="41"/>
      <c r="E50" s="16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14960-252B-452D-90F5-25FB605A016E}">
  <dimension ref="A1:F56"/>
  <sheetViews>
    <sheetView workbookViewId="0">
      <selection activeCell="C62" sqref="C62"/>
    </sheetView>
  </sheetViews>
  <sheetFormatPr baseColWidth="10" defaultColWidth="11.44140625" defaultRowHeight="14.4" x14ac:dyDescent="0.3"/>
  <cols>
    <col min="1" max="1" width="7.44140625" style="131" customWidth="1"/>
    <col min="2" max="2" width="59.109375" customWidth="1"/>
    <col min="3" max="3" width="9.109375" style="131" customWidth="1"/>
    <col min="4" max="4" width="10.44140625" style="131" customWidth="1"/>
    <col min="5" max="5" width="11.5546875" style="132"/>
    <col min="6" max="6" width="12.33203125" style="82" customWidth="1"/>
  </cols>
  <sheetData>
    <row r="1" spans="1:6" ht="15.6" x14ac:dyDescent="0.3">
      <c r="A1" s="102"/>
      <c r="B1" s="103" t="s">
        <v>195</v>
      </c>
      <c r="C1" s="102"/>
      <c r="D1" s="104"/>
      <c r="E1" s="105"/>
      <c r="F1" s="105"/>
    </row>
    <row r="2" spans="1:6" x14ac:dyDescent="0.3">
      <c r="A2" s="102"/>
      <c r="B2" s="106"/>
      <c r="C2" s="102"/>
      <c r="D2" s="104"/>
      <c r="E2" s="105"/>
      <c r="F2" s="105"/>
    </row>
    <row r="3" spans="1:6" ht="18" x14ac:dyDescent="0.35">
      <c r="A3" s="107" t="s">
        <v>196</v>
      </c>
      <c r="B3" s="108" t="s">
        <v>197</v>
      </c>
      <c r="C3" s="107" t="s">
        <v>198</v>
      </c>
      <c r="D3" s="107" t="s">
        <v>199</v>
      </c>
      <c r="E3" s="109" t="s">
        <v>200</v>
      </c>
      <c r="F3" s="110" t="s">
        <v>201</v>
      </c>
    </row>
    <row r="4" spans="1:6" ht="18" x14ac:dyDescent="0.35">
      <c r="A4" s="107" t="s">
        <v>19</v>
      </c>
      <c r="B4" s="111" t="s">
        <v>202</v>
      </c>
      <c r="C4" s="107"/>
      <c r="D4" s="107"/>
      <c r="E4" s="109"/>
      <c r="F4" s="110"/>
    </row>
    <row r="5" spans="1:6" ht="15.6" x14ac:dyDescent="0.3">
      <c r="A5" s="112">
        <v>1</v>
      </c>
      <c r="B5" s="113" t="s">
        <v>203</v>
      </c>
      <c r="C5" s="112" t="s">
        <v>23</v>
      </c>
      <c r="D5" s="112">
        <f>4.8*4.5</f>
        <v>21.599999999999998</v>
      </c>
      <c r="E5" s="114"/>
      <c r="F5" s="115"/>
    </row>
    <row r="6" spans="1:6" ht="15.6" x14ac:dyDescent="0.3">
      <c r="A6" s="112">
        <v>2</v>
      </c>
      <c r="B6" s="113" t="s">
        <v>204</v>
      </c>
      <c r="C6" s="112" t="s">
        <v>121</v>
      </c>
      <c r="D6" s="112">
        <v>1</v>
      </c>
      <c r="E6" s="114"/>
      <c r="F6" s="115"/>
    </row>
    <row r="7" spans="1:6" ht="15.6" x14ac:dyDescent="0.3">
      <c r="A7" s="112">
        <v>3</v>
      </c>
      <c r="B7" s="116" t="s">
        <v>205</v>
      </c>
      <c r="C7" s="112" t="s">
        <v>26</v>
      </c>
      <c r="D7" s="112">
        <f>3.3*3*2.5</f>
        <v>24.749999999999996</v>
      </c>
      <c r="E7" s="114"/>
      <c r="F7" s="115"/>
    </row>
    <row r="8" spans="1:6" ht="15.6" x14ac:dyDescent="0.3">
      <c r="A8" s="112">
        <v>4</v>
      </c>
      <c r="B8" s="116" t="s">
        <v>206</v>
      </c>
      <c r="C8" s="112" t="s">
        <v>26</v>
      </c>
      <c r="D8" s="112">
        <f>0.4*0.6*2.8</f>
        <v>0.67199999999999993</v>
      </c>
      <c r="E8" s="114"/>
      <c r="F8" s="115"/>
    </row>
    <row r="9" spans="1:6" ht="15.6" x14ac:dyDescent="0.3">
      <c r="A9" s="112">
        <v>5</v>
      </c>
      <c r="B9" s="116" t="s">
        <v>207</v>
      </c>
      <c r="C9" s="112" t="s">
        <v>26</v>
      </c>
      <c r="D9" s="112">
        <f>0.25*0.4*2.8</f>
        <v>0.27999999999999997</v>
      </c>
      <c r="E9" s="114"/>
      <c r="F9" s="115"/>
    </row>
    <row r="10" spans="1:6" ht="15.6" x14ac:dyDescent="0.3">
      <c r="A10" s="112"/>
      <c r="B10" s="111" t="s">
        <v>208</v>
      </c>
      <c r="C10" s="112"/>
      <c r="D10" s="112"/>
      <c r="E10" s="114"/>
      <c r="F10" s="117"/>
    </row>
    <row r="11" spans="1:6" ht="15.6" x14ac:dyDescent="0.3">
      <c r="A11" s="118" t="s">
        <v>32</v>
      </c>
      <c r="B11" s="119" t="s">
        <v>209</v>
      </c>
      <c r="C11" s="112"/>
      <c r="D11" s="112"/>
      <c r="E11" s="114"/>
      <c r="F11" s="115"/>
    </row>
    <row r="12" spans="1:6" ht="15.6" x14ac:dyDescent="0.3">
      <c r="A12" s="112">
        <v>1</v>
      </c>
      <c r="B12" s="116" t="s">
        <v>210</v>
      </c>
      <c r="C12" s="112" t="s">
        <v>26</v>
      </c>
      <c r="D12" s="112">
        <f>3*3.3*0.05</f>
        <v>0.49499999999999994</v>
      </c>
      <c r="E12" s="114"/>
      <c r="F12" s="115"/>
    </row>
    <row r="13" spans="1:6" ht="19.2" customHeight="1" x14ac:dyDescent="0.3">
      <c r="A13" s="112">
        <v>2</v>
      </c>
      <c r="B13" s="116" t="s">
        <v>211</v>
      </c>
      <c r="C13" s="112" t="s">
        <v>26</v>
      </c>
      <c r="D13" s="112">
        <f>0.4*0.05*2.8</f>
        <v>5.6000000000000008E-2</v>
      </c>
      <c r="E13" s="114"/>
      <c r="F13" s="115"/>
    </row>
    <row r="14" spans="1:6" ht="15.6" x14ac:dyDescent="0.3">
      <c r="A14" s="112">
        <v>3</v>
      </c>
      <c r="B14" s="116" t="s">
        <v>212</v>
      </c>
      <c r="C14" s="112" t="s">
        <v>26</v>
      </c>
      <c r="D14" s="112">
        <f>3*3.3*0.2</f>
        <v>1.9799999999999998</v>
      </c>
      <c r="E14" s="114"/>
      <c r="F14" s="115"/>
    </row>
    <row r="15" spans="1:6" ht="15.6" x14ac:dyDescent="0.3">
      <c r="A15" s="112">
        <v>4</v>
      </c>
      <c r="B15" s="116" t="s">
        <v>213</v>
      </c>
      <c r="C15" s="112" t="s">
        <v>26</v>
      </c>
      <c r="D15" s="112">
        <f>0.4*0.15*2.8</f>
        <v>0.16799999999999998</v>
      </c>
      <c r="E15" s="114"/>
      <c r="F15" s="115"/>
    </row>
    <row r="16" spans="1:6" ht="15.6" x14ac:dyDescent="0.3">
      <c r="A16" s="112">
        <v>5</v>
      </c>
      <c r="B16" s="116" t="s">
        <v>214</v>
      </c>
      <c r="C16" s="112" t="s">
        <v>26</v>
      </c>
      <c r="D16" s="112">
        <f>(6*0.15*0.15*2.5)</f>
        <v>0.33749999999999997</v>
      </c>
      <c r="E16" s="114"/>
      <c r="F16" s="115"/>
    </row>
    <row r="17" spans="1:6" ht="15.6" x14ac:dyDescent="0.3">
      <c r="A17" s="112">
        <v>6</v>
      </c>
      <c r="B17" s="116" t="s">
        <v>215</v>
      </c>
      <c r="C17" s="112" t="s">
        <v>23</v>
      </c>
      <c r="D17" s="112">
        <f>(2.8+2.95)*2*2.5</f>
        <v>28.75</v>
      </c>
      <c r="E17" s="114"/>
      <c r="F17" s="115"/>
    </row>
    <row r="18" spans="1:6" ht="15.6" x14ac:dyDescent="0.3">
      <c r="A18" s="112">
        <v>7</v>
      </c>
      <c r="B18" s="116" t="s">
        <v>216</v>
      </c>
      <c r="C18" s="112" t="s">
        <v>26</v>
      </c>
      <c r="D18" s="112">
        <f>(6*0.15*0.15*2.5)+(3*0.15*0.15*3)</f>
        <v>0.53999999999999992</v>
      </c>
      <c r="E18" s="114"/>
      <c r="F18" s="115"/>
    </row>
    <row r="19" spans="1:6" ht="15.6" x14ac:dyDescent="0.3">
      <c r="A19" s="112">
        <v>8</v>
      </c>
      <c r="B19" s="116" t="s">
        <v>217</v>
      </c>
      <c r="C19" s="112" t="s">
        <v>26</v>
      </c>
      <c r="D19" s="112">
        <f>2.4*0.15*0.3</f>
        <v>0.108</v>
      </c>
      <c r="E19" s="114"/>
      <c r="F19" s="115"/>
    </row>
    <row r="20" spans="1:6" ht="15.6" x14ac:dyDescent="0.3">
      <c r="A20" s="112">
        <v>9</v>
      </c>
      <c r="B20" s="116" t="s">
        <v>218</v>
      </c>
      <c r="C20" s="112" t="s">
        <v>26</v>
      </c>
      <c r="D20" s="112">
        <f>2.8*3*0.2</f>
        <v>1.6799999999999997</v>
      </c>
      <c r="E20" s="114"/>
      <c r="F20" s="115"/>
    </row>
    <row r="21" spans="1:6" ht="18.600000000000001" customHeight="1" x14ac:dyDescent="0.3">
      <c r="A21" s="112">
        <v>10</v>
      </c>
      <c r="B21" s="116" t="s">
        <v>219</v>
      </c>
      <c r="C21" s="112" t="s">
        <v>23</v>
      </c>
      <c r="D21" s="112">
        <f>0.25*2.8</f>
        <v>0.7</v>
      </c>
      <c r="E21" s="114"/>
      <c r="F21" s="115"/>
    </row>
    <row r="22" spans="1:6" ht="15.6" x14ac:dyDescent="0.3">
      <c r="A22" s="112">
        <v>11</v>
      </c>
      <c r="B22" s="116" t="s">
        <v>220</v>
      </c>
      <c r="C22" s="112" t="s">
        <v>23</v>
      </c>
      <c r="D22" s="112">
        <f>13.9*2.2</f>
        <v>30.580000000000002</v>
      </c>
      <c r="E22" s="114"/>
      <c r="F22" s="115"/>
    </row>
    <row r="23" spans="1:6" ht="15.6" x14ac:dyDescent="0.3">
      <c r="A23" s="112">
        <v>12</v>
      </c>
      <c r="B23" s="116" t="s">
        <v>221</v>
      </c>
      <c r="C23" s="112" t="s">
        <v>26</v>
      </c>
      <c r="D23" s="112">
        <f>13.9*0.15*0.2</f>
        <v>0.41700000000000004</v>
      </c>
      <c r="E23" s="114"/>
      <c r="F23" s="115"/>
    </row>
    <row r="24" spans="1:6" ht="15.6" x14ac:dyDescent="0.3">
      <c r="A24" s="112">
        <v>13</v>
      </c>
      <c r="B24" s="116" t="s">
        <v>222</v>
      </c>
      <c r="C24" s="112" t="s">
        <v>26</v>
      </c>
      <c r="D24" s="112">
        <f>8.6*0.15*0.2</f>
        <v>0.25799999999999995</v>
      </c>
      <c r="E24" s="114"/>
      <c r="F24" s="115"/>
    </row>
    <row r="25" spans="1:6" ht="15.6" x14ac:dyDescent="0.3">
      <c r="A25" s="112">
        <v>14</v>
      </c>
      <c r="B25" s="116" t="s">
        <v>223</v>
      </c>
      <c r="C25" s="112" t="s">
        <v>26</v>
      </c>
      <c r="D25" s="112">
        <f>1*2.8*0.1</f>
        <v>0.27999999999999997</v>
      </c>
      <c r="E25" s="114"/>
      <c r="F25" s="115"/>
    </row>
    <row r="26" spans="1:6" ht="15.6" x14ac:dyDescent="0.3">
      <c r="A26" s="112">
        <v>15</v>
      </c>
      <c r="B26" s="116" t="s">
        <v>224</v>
      </c>
      <c r="C26" s="112" t="s">
        <v>26</v>
      </c>
      <c r="D26" s="112">
        <f>((1*1*0.1)+(0.3*0.15/2*1*2))*2</f>
        <v>0.29000000000000004</v>
      </c>
      <c r="E26" s="114"/>
      <c r="F26" s="115"/>
    </row>
    <row r="27" spans="1:6" ht="15.6" x14ac:dyDescent="0.3">
      <c r="A27" s="112"/>
      <c r="B27" s="111" t="s">
        <v>225</v>
      </c>
      <c r="C27" s="112"/>
      <c r="D27" s="112"/>
      <c r="E27" s="114"/>
      <c r="F27" s="117"/>
    </row>
    <row r="28" spans="1:6" ht="15.6" x14ac:dyDescent="0.3">
      <c r="A28" s="118" t="s">
        <v>69</v>
      </c>
      <c r="B28" s="111" t="s">
        <v>226</v>
      </c>
      <c r="C28" s="112"/>
      <c r="D28" s="112"/>
      <c r="E28" s="114"/>
      <c r="F28" s="115"/>
    </row>
    <row r="29" spans="1:6" ht="15.6" x14ac:dyDescent="0.3">
      <c r="A29" s="112">
        <v>1</v>
      </c>
      <c r="B29" s="113" t="s">
        <v>227</v>
      </c>
      <c r="C29" s="112" t="s">
        <v>23</v>
      </c>
      <c r="D29" s="112">
        <f>9*2</f>
        <v>18</v>
      </c>
      <c r="E29" s="114"/>
      <c r="F29" s="115"/>
    </row>
    <row r="30" spans="1:6" ht="15.6" x14ac:dyDescent="0.3">
      <c r="A30" s="112">
        <v>2</v>
      </c>
      <c r="B30" s="116" t="s">
        <v>228</v>
      </c>
      <c r="C30" s="112" t="s">
        <v>23</v>
      </c>
      <c r="D30" s="112">
        <f>(2.5+2.2)*2*2.5</f>
        <v>23.5</v>
      </c>
      <c r="E30" s="114"/>
      <c r="F30" s="115"/>
    </row>
    <row r="31" spans="1:6" ht="15.6" x14ac:dyDescent="0.3">
      <c r="A31" s="112">
        <v>3</v>
      </c>
      <c r="B31" s="116" t="s">
        <v>229</v>
      </c>
      <c r="C31" s="112" t="s">
        <v>23</v>
      </c>
      <c r="D31" s="112">
        <f>(9.1*2)+(0.45*9.1)</f>
        <v>22.294999999999998</v>
      </c>
      <c r="E31" s="114"/>
      <c r="F31" s="115"/>
    </row>
    <row r="32" spans="1:6" ht="15.6" x14ac:dyDescent="0.3">
      <c r="A32" s="112">
        <v>4</v>
      </c>
      <c r="B32" s="113" t="s">
        <v>230</v>
      </c>
      <c r="C32" s="112" t="s">
        <v>23</v>
      </c>
      <c r="D32" s="112">
        <f>(1.7*1.05)*2+(0.85*2.5)</f>
        <v>5.6950000000000003</v>
      </c>
      <c r="E32" s="114"/>
      <c r="F32" s="115"/>
    </row>
    <row r="33" spans="1:6" ht="15.6" x14ac:dyDescent="0.3">
      <c r="A33" s="112">
        <v>5</v>
      </c>
      <c r="B33" s="113" t="s">
        <v>231</v>
      </c>
      <c r="C33" s="112" t="s">
        <v>23</v>
      </c>
      <c r="D33" s="112">
        <f>((1.7*4)+(1.05*2)+(0.4*2*2)+2.5)*1.6</f>
        <v>20.8</v>
      </c>
      <c r="E33" s="114"/>
      <c r="F33" s="115"/>
    </row>
    <row r="34" spans="1:6" ht="15.6" x14ac:dyDescent="0.3">
      <c r="A34" s="112"/>
      <c r="B34" s="111" t="s">
        <v>232</v>
      </c>
      <c r="C34" s="112"/>
      <c r="D34" s="112"/>
      <c r="E34" s="114"/>
      <c r="F34" s="117"/>
    </row>
    <row r="35" spans="1:6" ht="15.6" x14ac:dyDescent="0.3">
      <c r="A35" s="112" t="s">
        <v>80</v>
      </c>
      <c r="B35" s="119" t="s">
        <v>233</v>
      </c>
      <c r="C35" s="112"/>
      <c r="D35" s="112"/>
      <c r="E35" s="114"/>
      <c r="F35" s="115"/>
    </row>
    <row r="36" spans="1:6" ht="15.6" x14ac:dyDescent="0.3">
      <c r="A36" s="112"/>
      <c r="B36" s="120" t="s">
        <v>234</v>
      </c>
      <c r="C36" s="112" t="s">
        <v>100</v>
      </c>
      <c r="D36" s="112">
        <v>2</v>
      </c>
      <c r="E36" s="114"/>
      <c r="F36" s="115"/>
    </row>
    <row r="37" spans="1:6" ht="15.6" x14ac:dyDescent="0.3">
      <c r="A37" s="112"/>
      <c r="B37" s="121" t="s">
        <v>235</v>
      </c>
      <c r="C37" s="112"/>
      <c r="D37" s="112"/>
      <c r="E37" s="114"/>
      <c r="F37" s="117"/>
    </row>
    <row r="38" spans="1:6" ht="15.6" x14ac:dyDescent="0.3">
      <c r="A38" s="118" t="s">
        <v>96</v>
      </c>
      <c r="B38" s="111" t="s">
        <v>236</v>
      </c>
      <c r="C38" s="112"/>
      <c r="D38" s="112"/>
      <c r="E38" s="114"/>
      <c r="F38" s="115"/>
    </row>
    <row r="39" spans="1:6" ht="15.6" x14ac:dyDescent="0.3">
      <c r="A39" s="112">
        <v>1</v>
      </c>
      <c r="B39" s="122" t="s">
        <v>237</v>
      </c>
      <c r="C39" s="112" t="s">
        <v>84</v>
      </c>
      <c r="D39" s="112">
        <f>5*2.85</f>
        <v>14.25</v>
      </c>
      <c r="E39" s="114"/>
      <c r="F39" s="115"/>
    </row>
    <row r="40" spans="1:6" ht="15.6" x14ac:dyDescent="0.3">
      <c r="A40" s="112">
        <v>2</v>
      </c>
      <c r="B40" s="120" t="s">
        <v>238</v>
      </c>
      <c r="C40" s="112" t="s">
        <v>23</v>
      </c>
      <c r="D40" s="112">
        <f>3.2*2.65</f>
        <v>8.48</v>
      </c>
      <c r="E40" s="114"/>
      <c r="F40" s="115"/>
    </row>
    <row r="41" spans="1:6" ht="15.6" x14ac:dyDescent="0.3">
      <c r="A41" s="112"/>
      <c r="B41" s="121" t="s">
        <v>239</v>
      </c>
      <c r="C41" s="112"/>
      <c r="D41" s="112"/>
      <c r="E41" s="114"/>
      <c r="F41" s="117"/>
    </row>
    <row r="42" spans="1:6" ht="15.6" x14ac:dyDescent="0.3">
      <c r="A42" s="118" t="s">
        <v>108</v>
      </c>
      <c r="B42" s="111" t="s">
        <v>240</v>
      </c>
      <c r="C42" s="112"/>
      <c r="D42" s="112"/>
      <c r="E42" s="114"/>
      <c r="F42" s="115"/>
    </row>
    <row r="43" spans="1:6" ht="15.6" x14ac:dyDescent="0.3">
      <c r="A43" s="112">
        <v>1</v>
      </c>
      <c r="B43" s="113" t="s">
        <v>241</v>
      </c>
      <c r="C43" s="112" t="s">
        <v>23</v>
      </c>
      <c r="D43" s="112">
        <f>2*0.8*2*2</f>
        <v>6.4</v>
      </c>
      <c r="E43" s="114"/>
      <c r="F43" s="115"/>
    </row>
    <row r="44" spans="1:6" ht="15.6" x14ac:dyDescent="0.3">
      <c r="A44" s="112"/>
      <c r="B44" s="111" t="s">
        <v>242</v>
      </c>
      <c r="C44" s="112"/>
      <c r="D44" s="112"/>
      <c r="E44" s="114"/>
      <c r="F44" s="117"/>
    </row>
    <row r="45" spans="1:6" ht="15.6" x14ac:dyDescent="0.3">
      <c r="A45" s="118" t="s">
        <v>117</v>
      </c>
      <c r="B45" s="119" t="s">
        <v>243</v>
      </c>
      <c r="C45" s="112"/>
      <c r="D45" s="112"/>
      <c r="E45" s="114"/>
      <c r="F45" s="115"/>
    </row>
    <row r="46" spans="1:6" ht="15.6" x14ac:dyDescent="0.3">
      <c r="A46" s="112">
        <v>1</v>
      </c>
      <c r="B46" s="120" t="s">
        <v>244</v>
      </c>
      <c r="C46" s="112"/>
      <c r="D46" s="112">
        <v>2</v>
      </c>
      <c r="E46" s="114"/>
      <c r="F46" s="115"/>
    </row>
    <row r="47" spans="1:6" ht="15.6" x14ac:dyDescent="0.3">
      <c r="A47" s="112">
        <v>2</v>
      </c>
      <c r="B47" s="116" t="s">
        <v>245</v>
      </c>
      <c r="C47" s="112" t="s">
        <v>100</v>
      </c>
      <c r="D47" s="112">
        <v>2</v>
      </c>
      <c r="E47" s="114"/>
      <c r="F47" s="115"/>
    </row>
    <row r="48" spans="1:6" ht="15.6" x14ac:dyDescent="0.3">
      <c r="A48" s="112">
        <v>3</v>
      </c>
      <c r="B48" s="122" t="s">
        <v>246</v>
      </c>
      <c r="C48" s="123" t="s">
        <v>100</v>
      </c>
      <c r="D48" s="123">
        <v>2</v>
      </c>
      <c r="E48" s="124"/>
      <c r="F48" s="115"/>
    </row>
    <row r="49" spans="1:6" ht="15.6" x14ac:dyDescent="0.3">
      <c r="A49" s="112">
        <v>4</v>
      </c>
      <c r="B49" s="120" t="s">
        <v>247</v>
      </c>
      <c r="C49" s="123" t="s">
        <v>100</v>
      </c>
      <c r="D49" s="123">
        <v>2</v>
      </c>
      <c r="E49" s="124"/>
      <c r="F49" s="115"/>
    </row>
    <row r="50" spans="1:6" ht="31.2" x14ac:dyDescent="0.3">
      <c r="A50" s="112">
        <v>5</v>
      </c>
      <c r="B50" s="120" t="s">
        <v>248</v>
      </c>
      <c r="C50" s="123" t="s">
        <v>84</v>
      </c>
      <c r="D50" s="123">
        <f>2.2*2</f>
        <v>4.4000000000000004</v>
      </c>
      <c r="E50" s="124"/>
      <c r="F50" s="115"/>
    </row>
    <row r="51" spans="1:6" ht="15.6" x14ac:dyDescent="0.3">
      <c r="A51" s="112">
        <v>6</v>
      </c>
      <c r="B51" s="125" t="s">
        <v>249</v>
      </c>
      <c r="C51" s="112" t="s">
        <v>100</v>
      </c>
      <c r="D51" s="112">
        <v>2</v>
      </c>
      <c r="E51" s="114"/>
      <c r="F51" s="115"/>
    </row>
    <row r="52" spans="1:6" ht="15.6" x14ac:dyDescent="0.3">
      <c r="A52" s="112"/>
      <c r="B52" s="111" t="s">
        <v>250</v>
      </c>
      <c r="C52" s="112"/>
      <c r="D52" s="112"/>
      <c r="E52" s="114"/>
      <c r="F52" s="117"/>
    </row>
    <row r="53" spans="1:6" ht="15.6" x14ac:dyDescent="0.3">
      <c r="A53" s="118" t="s">
        <v>130</v>
      </c>
      <c r="B53" s="119" t="s">
        <v>251</v>
      </c>
      <c r="C53" s="112"/>
      <c r="D53" s="112"/>
      <c r="E53" s="114"/>
      <c r="F53" s="115"/>
    </row>
    <row r="54" spans="1:6" ht="31.2" x14ac:dyDescent="0.3">
      <c r="A54" s="112">
        <v>1</v>
      </c>
      <c r="B54" s="120" t="s">
        <v>252</v>
      </c>
      <c r="C54" s="112" t="s">
        <v>100</v>
      </c>
      <c r="D54" s="112">
        <v>1</v>
      </c>
      <c r="E54" s="114"/>
      <c r="F54" s="115"/>
    </row>
    <row r="55" spans="1:6" ht="16.2" thickBot="1" x14ac:dyDescent="0.35">
      <c r="A55" s="112"/>
      <c r="B55" s="111" t="s">
        <v>253</v>
      </c>
      <c r="C55" s="112"/>
      <c r="D55" s="112"/>
      <c r="E55" s="114"/>
      <c r="F55" s="117"/>
    </row>
    <row r="56" spans="1:6" ht="16.2" thickBot="1" x14ac:dyDescent="0.35">
      <c r="A56" s="126"/>
      <c r="B56" s="127" t="s">
        <v>254</v>
      </c>
      <c r="C56" s="128"/>
      <c r="D56" s="128"/>
      <c r="E56" s="129"/>
      <c r="F56" s="1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2</vt:i4>
      </vt:variant>
    </vt:vector>
  </HeadingPairs>
  <TitlesOfParts>
    <vt:vector size="13" baseType="lpstr">
      <vt:lpstr>RECAPITULATIF GENERAL</vt:lpstr>
      <vt:lpstr>cadre RECAPITULATIF GENERAL</vt:lpstr>
      <vt:lpstr>DQE Maintenance</vt:lpstr>
      <vt:lpstr>cadre DQE Maintenance</vt:lpstr>
      <vt:lpstr>cadre BPU Maintenance</vt:lpstr>
      <vt:lpstr>DQE CAJ Yélou Gaya R</vt:lpstr>
      <vt:lpstr>cadre DQE CAJ Yélou Gaya</vt:lpstr>
      <vt:lpstr>cadre BPU CAJ Yélou Gaya</vt:lpstr>
      <vt:lpstr>DQE Toilettes CAJ Yelou Gaya</vt:lpstr>
      <vt:lpstr>cadre DQE Toilettes CAJ Yelou</vt:lpstr>
      <vt:lpstr>cadre BPU Toilettes CAJ Yel</vt:lpstr>
      <vt:lpstr>'cadre RECAPITULATIF GENERAL'!Zone_d_impression</vt:lpstr>
      <vt:lpstr>'RECAPITULATIF GENERAL'!Zone_d_impression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ThinkBook</dc:creator>
  <cp:keywords/>
  <dc:description/>
  <cp:lastModifiedBy>MBIYA ILUNGA, Yannick</cp:lastModifiedBy>
  <cp:revision/>
  <dcterms:created xsi:type="dcterms:W3CDTF">2023-06-29T22:13:55Z</dcterms:created>
  <dcterms:modified xsi:type="dcterms:W3CDTF">2023-11-15T15:31:53Z</dcterms:modified>
  <cp:category/>
  <cp:contentStatus/>
</cp:coreProperties>
</file>